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howInkAnnotation="0" codeName="ThisWorkbook" defaultThemeVersion="124226"/>
  <mc:AlternateContent xmlns:mc="http://schemas.openxmlformats.org/markup-compatibility/2006">
    <mc:Choice Requires="x15">
      <x15ac:absPath xmlns:x15ac="http://schemas.microsoft.com/office/spreadsheetml/2010/11/ac" url="https://skarteinwalakerstryn-my.sharepoint.com/personal/post_skarstein-walaker_no/Documents/01 - Kundar/SB-Produksjon/1.0 IC/2.0 TSS_RVK/2.5 Regneark/"/>
    </mc:Choice>
  </mc:AlternateContent>
  <xr:revisionPtr revIDLastSave="2" documentId="8_{B01A0068-68EE-46C9-AB6E-49E8DA505AA9}" xr6:coauthVersionLast="47" xr6:coauthVersionMax="47" xr10:uidLastSave="{6E649D48-B89C-4E09-B7B7-5BB6000D375B}"/>
  <bookViews>
    <workbookView xWindow="-38520" yWindow="-120" windowWidth="38640" windowHeight="21120" xr2:uid="{0E29BCE3-AD0E-4DCD-AD80-382414480286}"/>
  </bookViews>
  <sheets>
    <sheet name="Main sheet" sheetId="5" r:id="rId1"/>
    <sheet name="Revision history- Control" sheetId="7" r:id="rId2"/>
    <sheet name="Chart data" sheetId="6" state="hidden" r:id="rId3"/>
  </sheets>
  <definedNames>
    <definedName name="A">'Main sheet'!$G$12</definedName>
    <definedName name="ad">'Main sheet'!$K$37</definedName>
    <definedName name="ay">'Main sheet'!$K$33</definedName>
    <definedName name="B">'Main sheet'!$G$13</definedName>
    <definedName name="Ce">'Main sheet'!$G$14</definedName>
    <definedName name="ConcreteDensity">'Main sheet'!$K$12</definedName>
    <definedName name="D">'Main sheet'!$G$15</definedName>
    <definedName name="Def">'Main sheet'!$J$68</definedName>
    <definedName name="DLfactorALS">'Main sheet'!$K$35</definedName>
    <definedName name="DLfactorULS">'Main sheet'!$K$29</definedName>
    <definedName name="E">'Main sheet'!$G$16</definedName>
    <definedName name="F">'Main sheet'!$G$17</definedName>
    <definedName name="FFrontULSFlight">'Main sheet'!$E$91</definedName>
    <definedName name="FFrontULSLanding">'Main sheet'!$K$91</definedName>
    <definedName name="FinishesFlight">'Main sheet'!$K$20</definedName>
    <definedName name="FinishesLanding">'Main sheet'!$K$19</definedName>
    <definedName name="FRearULSFlight">'Main sheet'!$E$92</definedName>
    <definedName name="FRearULSLanding">'Main sheet'!$K$92</definedName>
    <definedName name="G">'Main sheet'!$G$18</definedName>
    <definedName name="gv">'Main sheet'!$K$25</definedName>
    <definedName name="H">'Main sheet'!$G$19</definedName>
    <definedName name="Htot">'Main sheet'!$G$21</definedName>
    <definedName name="I">'Main sheet'!$G$26</definedName>
    <definedName name="J">'Main sheet'!$G$27</definedName>
    <definedName name="K">'Main sheet'!$G$32</definedName>
    <definedName name="LiveloadFlight">'Main sheet'!$K$24</definedName>
    <definedName name="LiveloadLanding">'Main sheet'!$K$23</definedName>
    <definedName name="LLfactorALS">'Main sheet'!$K$36</definedName>
    <definedName name="LLfactorULS">'Main sheet'!$K$30</definedName>
    <definedName name="N">'Main sheet'!$G$33</definedName>
    <definedName name="QTot.Flight.Deadload">'Main sheet'!$J$74</definedName>
    <definedName name="QTot.Flight.Liveload">'Main sheet'!$J$78</definedName>
    <definedName name="QTot.Flights.ULS">'Main sheet'!$L$84</definedName>
    <definedName name="QTot.Landing.Deadload">'Main sheet'!$D$73</definedName>
    <definedName name="QTot.Landing.Liveload">'Main sheet'!$D$78</definedName>
    <definedName name="QTot.Landing.ULS">'Main sheet'!$F$80</definedName>
    <definedName name="QTot.One.Flight.ULS">'Main sheet'!$L$80</definedName>
    <definedName name="Rmax.ULS">'Main sheet'!$F$90</definedName>
    <definedName name="TreadNo">'Main sheet'!$G$20</definedName>
    <definedName name="_xlnm.Print_Area" localSheetId="0">'Main sheet'!$B$2:$M$110</definedName>
    <definedName name="_xlnm.Print_Area" localSheetId="1">'Revision history- Control'!$A$1:$L$25</definedName>
    <definedName name="_xlnm.Print_Titles" localSheetId="0">'Main sheet'!$2:$6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2" i="5" l="1"/>
  <c r="I94" i="5"/>
  <c r="I97" i="5"/>
  <c r="C97" i="5"/>
  <c r="I101" i="5" l="1"/>
  <c r="D97" i="5"/>
  <c r="G21" i="5" l="1"/>
  <c r="D77" i="5" l="1"/>
  <c r="J77" i="5"/>
  <c r="I108" i="5" l="1"/>
  <c r="E78" i="5"/>
  <c r="E73" i="5"/>
  <c r="K78" i="5"/>
  <c r="K74" i="5"/>
  <c r="L142" i="6" l="1"/>
  <c r="L141" i="6"/>
  <c r="L134" i="6"/>
  <c r="L133" i="6"/>
  <c r="M125" i="6"/>
  <c r="L125" i="6"/>
  <c r="L124" i="6"/>
  <c r="M122" i="6"/>
  <c r="L122" i="6"/>
  <c r="L123" i="6" s="1"/>
  <c r="M118" i="6"/>
  <c r="M117" i="6"/>
  <c r="M116" i="6"/>
  <c r="M115" i="6"/>
  <c r="M114" i="6"/>
  <c r="M113" i="6"/>
  <c r="M112" i="6"/>
  <c r="M111" i="6"/>
  <c r="M110" i="6"/>
  <c r="M109" i="6"/>
  <c r="M107" i="6"/>
  <c r="M106" i="6"/>
  <c r="M105" i="6"/>
  <c r="M104" i="6"/>
  <c r="P103" i="6"/>
  <c r="M103" i="6"/>
  <c r="P102" i="6"/>
  <c r="M102" i="6"/>
  <c r="P101" i="6"/>
  <c r="M101" i="6"/>
  <c r="L101" i="6"/>
  <c r="L103" i="6" s="1"/>
  <c r="L105" i="6" s="1"/>
  <c r="L107" i="6" s="1"/>
  <c r="L110" i="6" s="1"/>
  <c r="L112" i="6" s="1"/>
  <c r="L114" i="6" s="1"/>
  <c r="L116" i="6" s="1"/>
  <c r="L118" i="6" s="1"/>
  <c r="P100" i="6"/>
  <c r="M100" i="6"/>
  <c r="L100" i="6"/>
  <c r="L102" i="6" s="1"/>
  <c r="L104" i="6" s="1"/>
  <c r="L106" i="6" s="1"/>
  <c r="L109" i="6" s="1"/>
  <c r="L111" i="6" s="1"/>
  <c r="L113" i="6" s="1"/>
  <c r="L115" i="6" s="1"/>
  <c r="L117" i="6" s="1"/>
  <c r="P99" i="6"/>
  <c r="M99" i="6"/>
  <c r="M98" i="6"/>
  <c r="M97" i="6"/>
  <c r="P96" i="6"/>
  <c r="M96" i="6"/>
  <c r="P95" i="6"/>
  <c r="M95" i="6"/>
  <c r="W94" i="6"/>
  <c r="W96" i="6" s="1"/>
  <c r="W98" i="6" s="1"/>
  <c r="W100" i="6" s="1"/>
  <c r="W102" i="6" s="1"/>
  <c r="W104" i="6" s="1"/>
  <c r="W106" i="6" s="1"/>
  <c r="W109" i="6" s="1"/>
  <c r="W111" i="6" s="1"/>
  <c r="P94" i="6"/>
  <c r="M94" i="6"/>
  <c r="L94" i="6"/>
  <c r="W93" i="6"/>
  <c r="W95" i="6" s="1"/>
  <c r="W97" i="6" s="1"/>
  <c r="W99" i="6" s="1"/>
  <c r="W101" i="6" s="1"/>
  <c r="W103" i="6" s="1"/>
  <c r="W105" i="6" s="1"/>
  <c r="W107" i="6" s="1"/>
  <c r="W110" i="6" s="1"/>
  <c r="P93" i="6"/>
  <c r="M93" i="6"/>
  <c r="S70" i="6" s="1"/>
  <c r="P92" i="6"/>
  <c r="M92" i="6"/>
  <c r="P89" i="6"/>
  <c r="P88" i="6"/>
  <c r="P87" i="6"/>
  <c r="P86" i="6"/>
  <c r="P85" i="6"/>
  <c r="P83" i="6"/>
  <c r="P82" i="6"/>
  <c r="P81" i="6"/>
  <c r="P80" i="6"/>
  <c r="P79" i="6"/>
  <c r="W77" i="6"/>
  <c r="R77" i="6"/>
  <c r="R76" i="6"/>
  <c r="R70" i="6"/>
  <c r="S69" i="6"/>
  <c r="R69" i="6"/>
  <c r="L69" i="6"/>
  <c r="L71" i="6" s="1"/>
  <c r="L73" i="6" s="1"/>
  <c r="L75" i="6" s="1"/>
  <c r="L77" i="6" s="1"/>
  <c r="L79" i="6" s="1"/>
  <c r="L81" i="6" s="1"/>
  <c r="L83" i="6" s="1"/>
  <c r="L85" i="6" s="1"/>
  <c r="M68" i="6"/>
  <c r="M70" i="6" s="1"/>
  <c r="M72" i="6" s="1"/>
  <c r="M74" i="6" s="1"/>
  <c r="M76" i="6" s="1"/>
  <c r="M78" i="6" s="1"/>
  <c r="M80" i="6" s="1"/>
  <c r="M82" i="6" s="1"/>
  <c r="M84" i="6" s="1"/>
  <c r="M86" i="6" s="1"/>
  <c r="L68" i="6"/>
  <c r="L70" i="6" s="1"/>
  <c r="L72" i="6" s="1"/>
  <c r="L74" i="6" s="1"/>
  <c r="L76" i="6" s="1"/>
  <c r="L78" i="6" s="1"/>
  <c r="L80" i="6" s="1"/>
  <c r="L82" i="6" s="1"/>
  <c r="L84" i="6" s="1"/>
  <c r="W67" i="6"/>
  <c r="W68" i="6" s="1"/>
  <c r="W69" i="6" s="1"/>
  <c r="W70" i="6" s="1"/>
  <c r="W71" i="6" s="1"/>
  <c r="W72" i="6" s="1"/>
  <c r="W73" i="6" s="1"/>
  <c r="W74" i="6" s="1"/>
  <c r="W75" i="6" s="1"/>
  <c r="W78" i="6" s="1"/>
  <c r="W79" i="6" s="1"/>
  <c r="W80" i="6" s="1"/>
  <c r="W81" i="6" s="1"/>
  <c r="W82" i="6" s="1"/>
  <c r="W83" i="6" s="1"/>
  <c r="W84" i="6" s="1"/>
  <c r="W85" i="6" s="1"/>
  <c r="W86" i="6" s="1"/>
  <c r="W87" i="6" s="1"/>
  <c r="M67" i="6"/>
  <c r="M69" i="6" s="1"/>
  <c r="M71" i="6" s="1"/>
  <c r="M73" i="6" s="1"/>
  <c r="M75" i="6" s="1"/>
  <c r="M77" i="6" s="1"/>
  <c r="M79" i="6" s="1"/>
  <c r="M81" i="6" s="1"/>
  <c r="M83" i="6" s="1"/>
  <c r="M85" i="6" s="1"/>
  <c r="M87" i="6" s="1"/>
  <c r="R66" i="6"/>
  <c r="R65" i="6"/>
  <c r="S76" i="6" l="1"/>
  <c r="S77" i="6" s="1"/>
  <c r="S65" i="6"/>
  <c r="M88" i="6"/>
  <c r="M123" i="6" l="1"/>
  <c r="M124" i="6" s="1"/>
  <c r="S66" i="6"/>
  <c r="D72" i="5" l="1"/>
  <c r="D71" i="5"/>
  <c r="D73" i="5" l="1"/>
  <c r="D78" i="5"/>
  <c r="J73" i="5"/>
  <c r="J67" i="5"/>
  <c r="J71" i="5" s="1"/>
  <c r="J78" i="5"/>
  <c r="F78" i="5" l="1"/>
  <c r="L78" i="5"/>
  <c r="F73" i="5"/>
  <c r="J74" i="5"/>
  <c r="L74" i="5" l="1"/>
  <c r="F80" i="5"/>
  <c r="J94" i="5" s="1"/>
  <c r="J91" i="5" l="1"/>
  <c r="K91" i="5"/>
  <c r="J99" i="5" s="1"/>
  <c r="L80" i="5"/>
  <c r="J92" i="5" l="1"/>
  <c r="K92" i="5"/>
  <c r="F90" i="5"/>
  <c r="K84" i="5"/>
  <c r="K44" i="5"/>
  <c r="L84" i="5"/>
  <c r="E104" i="5" s="1"/>
  <c r="I107" i="5" l="1"/>
  <c r="H99" i="5"/>
  <c r="J107" i="5"/>
  <c r="J101" i="5"/>
  <c r="E94" i="5"/>
  <c r="E91" i="5"/>
  <c r="D99" i="5" s="1"/>
  <c r="J103" i="5" l="1"/>
  <c r="I103" i="5"/>
  <c r="E92" i="5"/>
  <c r="C99" i="5" s="1"/>
  <c r="D92" i="5"/>
  <c r="J108" i="5" l="1"/>
  <c r="J109" i="5" s="1"/>
  <c r="I102" i="5"/>
  <c r="J102" i="5"/>
  <c r="K103" i="5"/>
  <c r="E45" i="5"/>
  <c r="E44" i="5" l="1"/>
  <c r="I104" i="5"/>
  <c r="K109" i="5"/>
  <c r="E47" i="5"/>
  <c r="F47" i="5" s="1"/>
  <c r="J104" i="5"/>
  <c r="K102" i="5"/>
</calcChain>
</file>

<file path=xl/sharedStrings.xml><?xml version="1.0" encoding="utf-8"?>
<sst xmlns="http://schemas.openxmlformats.org/spreadsheetml/2006/main" count="171" uniqueCount="144">
  <si>
    <t>Client</t>
  </si>
  <si>
    <t>Project</t>
  </si>
  <si>
    <t xml:space="preserve">Date: </t>
  </si>
  <si>
    <t>Finishes on landing</t>
  </si>
  <si>
    <t>Finishes on flight</t>
  </si>
  <si>
    <t>Concrete density</t>
  </si>
  <si>
    <t>Landing length (A)</t>
  </si>
  <si>
    <t>Landing width (B)</t>
  </si>
  <si>
    <t>Flight length (C)</t>
  </si>
  <si>
    <t>Flight width (D)</t>
  </si>
  <si>
    <t>Landing thickness (E)</t>
  </si>
  <si>
    <t>Rise (F)</t>
  </si>
  <si>
    <t>Going (G)</t>
  </si>
  <si>
    <t>Waist (H)</t>
  </si>
  <si>
    <t xml:space="preserve">Tread finishes = </t>
  </si>
  <si>
    <t>Live load on flight =</t>
  </si>
  <si>
    <t>Location</t>
  </si>
  <si>
    <t>Dead load</t>
  </si>
  <si>
    <t>Live load</t>
  </si>
  <si>
    <t>[-]</t>
  </si>
  <si>
    <t>[m]</t>
  </si>
  <si>
    <r>
      <t>[kN/m</t>
    </r>
    <r>
      <rPr>
        <vertAlign val="superscript"/>
        <sz val="12"/>
        <rFont val="Arial"/>
        <family val="2"/>
      </rPr>
      <t>3</t>
    </r>
    <r>
      <rPr>
        <sz val="12"/>
        <rFont val="Arial"/>
        <family val="2"/>
      </rPr>
      <t>]</t>
    </r>
  </si>
  <si>
    <r>
      <t>[kN/m</t>
    </r>
    <r>
      <rPr>
        <vertAlign val="superscript"/>
        <sz val="12"/>
        <rFont val="Arial"/>
        <family val="2"/>
      </rPr>
      <t>2</t>
    </r>
    <r>
      <rPr>
        <sz val="12"/>
        <rFont val="Arial"/>
        <family val="2"/>
      </rPr>
      <t>]</t>
    </r>
  </si>
  <si>
    <t>INPUT:</t>
  </si>
  <si>
    <t>Flight (one):</t>
  </si>
  <si>
    <t>[mm]</t>
  </si>
  <si>
    <t>Sign</t>
  </si>
  <si>
    <t>Blue numbers: User input.</t>
  </si>
  <si>
    <t>Green numbers: Relevant output.</t>
  </si>
  <si>
    <t>USER GUIDE:</t>
  </si>
  <si>
    <t>Calculated length:</t>
  </si>
  <si>
    <t>Green text: Author's notes.</t>
  </si>
  <si>
    <t>Landing finishes =</t>
  </si>
  <si>
    <t>Live load on landing =</t>
  </si>
  <si>
    <t>Total weight of waist =</t>
  </si>
  <si>
    <t xml:space="preserve">Total weight of treads = </t>
  </si>
  <si>
    <t>x</t>
  </si>
  <si>
    <t>y</t>
  </si>
  <si>
    <t>Stairs</t>
  </si>
  <si>
    <t>Connectors</t>
  </si>
  <si>
    <t>Forces</t>
  </si>
  <si>
    <t>MATERIAL</t>
  </si>
  <si>
    <t>Dead loads:</t>
  </si>
  <si>
    <t>Edge distance (K)</t>
  </si>
  <si>
    <t xml:space="preserve">ULS - LOAD FACTORS </t>
  </si>
  <si>
    <r>
      <t>Height stair, H</t>
    </r>
    <r>
      <rPr>
        <vertAlign val="subscript"/>
        <sz val="12"/>
        <rFont val="Arial"/>
        <family val="2"/>
      </rPr>
      <t>tot</t>
    </r>
    <r>
      <rPr>
        <sz val="12"/>
        <rFont val="Arial"/>
        <family val="2"/>
      </rPr>
      <t xml:space="preserve"> (calculated)</t>
    </r>
  </si>
  <si>
    <t>NOTE: Minimum concrete grade: C35/45</t>
  </si>
  <si>
    <t>Total vertical load on one flight:</t>
  </si>
  <si>
    <t>VERTICAL LOADS ON FLIGHT AND LANDING</t>
  </si>
  <si>
    <t>FLIGHT CONNECTIONS (TYPE TO BE SELECTED)</t>
  </si>
  <si>
    <t>Total vertical load on landing itself:</t>
  </si>
  <si>
    <t xml:space="preserve">Vertical load on rear inserts - ULS load on landing and flight </t>
  </si>
  <si>
    <t xml:space="preserve">Vertical load on front inserts - ULS load on landing and flight </t>
  </si>
  <si>
    <t>Net vertical load on rear inserts</t>
  </si>
  <si>
    <t xml:space="preserve">Control of total load: </t>
  </si>
  <si>
    <t>Total live load flight =</t>
  </si>
  <si>
    <t xml:space="preserve">Total dead load flight = </t>
  </si>
  <si>
    <t xml:space="preserve">GEOMETRY OF LANDING AND FLIGHT </t>
  </si>
  <si>
    <t>Dead load factor ULS</t>
  </si>
  <si>
    <t>Live load factor ULS</t>
  </si>
  <si>
    <t>Live load:</t>
  </si>
  <si>
    <t>Landing</t>
  </si>
  <si>
    <t>Flight</t>
  </si>
  <si>
    <t xml:space="preserve">DISCLAIMER:
This spreadsheet is provided free of charge "AS IS" without warranty of any kind, express or implied. In no event, shall the author or Invisible Connections be liable for any claim, damages or 
other liability arising from use of the results from the spreadsheet. The user shall be familiar with the information and guidelines provided in 
relevant Memos (available for download on www.invisibleconnections.no), and have adequate qualifications and knowledge about design of concrete structures. 
The user shall always check the reasonableness of the results by other software or by hand calculations. </t>
  </si>
  <si>
    <t>Landing (one):</t>
  </si>
  <si>
    <t>Total dead load landing =</t>
  </si>
  <si>
    <t>Total live load landing =</t>
  </si>
  <si>
    <t>SUMMARY OF RESULTS:</t>
  </si>
  <si>
    <t>(Assuming 25% of total flight load on each support)</t>
  </si>
  <si>
    <t xml:space="preserve">                         Shall equal:</t>
  </si>
  <si>
    <r>
      <t>Q</t>
    </r>
    <r>
      <rPr>
        <vertAlign val="subscript"/>
        <sz val="12"/>
        <rFont val="Arial"/>
        <family val="2"/>
      </rPr>
      <t>Tot.Flights.ULS</t>
    </r>
    <r>
      <rPr>
        <sz val="12"/>
        <rFont val="Arial"/>
        <family val="2"/>
      </rPr>
      <t>=Q</t>
    </r>
    <r>
      <rPr>
        <vertAlign val="subscript"/>
        <sz val="12"/>
        <rFont val="Arial"/>
        <family val="2"/>
      </rPr>
      <t>Tot.One.Flight.ULS</t>
    </r>
    <r>
      <rPr>
        <sz val="12"/>
        <rFont val="Arial"/>
        <family val="2"/>
      </rPr>
      <t>/2 ∙ 2=</t>
    </r>
  </si>
  <si>
    <t>Temporary condition ULS  - Control of uplift at rear insert.  Assume minimum load on landing, but maximum load on flight:</t>
  </si>
  <si>
    <t>CALCULATIONS: STATIC LOAD ON FLIGHT AND LANDING</t>
  </si>
  <si>
    <t>2) Load on inserts in landing:</t>
  </si>
  <si>
    <t xml:space="preserve">Vertical load on landing from two flights. </t>
  </si>
  <si>
    <t>Page 1 of 1</t>
  </si>
  <si>
    <t>1) Static load on flight and landing:</t>
  </si>
  <si>
    <t>LANDING CONNECTIONS (TYPE TO BE SELECTED)</t>
  </si>
  <si>
    <t>Performance of TSS/RVK units, and</t>
  </si>
  <si>
    <t>Performance of TSS 20 FA/TSS 25 L units, and</t>
  </si>
  <si>
    <t>Force working at distance N from landing edge:</t>
  </si>
  <si>
    <t>TSS 25 L  : N=70mm (nominal value)</t>
  </si>
  <si>
    <t>TSS 20 FA: N=55mm (nominal value)</t>
  </si>
  <si>
    <r>
      <t>F</t>
    </r>
    <r>
      <rPr>
        <vertAlign val="subscript"/>
        <sz val="12"/>
        <rFont val="Arial"/>
        <family val="2"/>
      </rPr>
      <t>Front.ULS.Flight</t>
    </r>
    <r>
      <rPr>
        <sz val="12"/>
        <rFont val="Arial"/>
        <family val="2"/>
      </rPr>
      <t xml:space="preserve"> = </t>
    </r>
  </si>
  <si>
    <r>
      <t>F</t>
    </r>
    <r>
      <rPr>
        <vertAlign val="subscript"/>
        <sz val="12"/>
        <rFont val="Arial"/>
        <family val="2"/>
      </rPr>
      <t>Rear.ULS.Flight</t>
    </r>
    <r>
      <rPr>
        <sz val="12"/>
        <rFont val="Arial"/>
        <family val="2"/>
      </rPr>
      <t xml:space="preserve"> = </t>
    </r>
  </si>
  <si>
    <r>
      <t>F</t>
    </r>
    <r>
      <rPr>
        <vertAlign val="subscript"/>
        <sz val="12"/>
        <rFont val="Arial"/>
        <family val="2"/>
      </rPr>
      <t>Front.ULS.Landing</t>
    </r>
    <r>
      <rPr>
        <sz val="12"/>
        <rFont val="Arial"/>
        <family val="2"/>
      </rPr>
      <t xml:space="preserve"> = </t>
    </r>
  </si>
  <si>
    <r>
      <t>F</t>
    </r>
    <r>
      <rPr>
        <vertAlign val="subscript"/>
        <sz val="12"/>
        <rFont val="Arial"/>
        <family val="2"/>
      </rPr>
      <t>Rear.ULS.Landing</t>
    </r>
    <r>
      <rPr>
        <sz val="12"/>
        <rFont val="Arial"/>
        <family val="2"/>
      </rPr>
      <t xml:space="preserve"> = </t>
    </r>
  </si>
  <si>
    <t>Vertical load on rear inserts - ULS load on landing</t>
  </si>
  <si>
    <r>
      <t>R</t>
    </r>
    <r>
      <rPr>
        <vertAlign val="subscript"/>
        <sz val="12"/>
        <rFont val="Arial"/>
        <family val="2"/>
      </rPr>
      <t>max.ULS</t>
    </r>
    <r>
      <rPr>
        <sz val="12"/>
        <rFont val="Arial"/>
        <family val="2"/>
      </rPr>
      <t>=Q</t>
    </r>
    <r>
      <rPr>
        <vertAlign val="subscript"/>
        <sz val="12"/>
        <rFont val="Arial"/>
        <family val="2"/>
      </rPr>
      <t>Tot.One.Flight.ULS</t>
    </r>
    <r>
      <rPr>
        <sz val="12"/>
        <rFont val="Arial"/>
        <family val="2"/>
      </rPr>
      <t>/2=</t>
    </r>
  </si>
  <si>
    <r>
      <t xml:space="preserve">             F</t>
    </r>
    <r>
      <rPr>
        <vertAlign val="subscript"/>
        <sz val="12"/>
        <rFont val="Arial"/>
        <family val="2"/>
      </rPr>
      <t xml:space="preserve">Rear.ULS.Landing </t>
    </r>
    <r>
      <rPr>
        <sz val="12"/>
        <rFont val="Arial"/>
        <family val="2"/>
      </rPr>
      <t xml:space="preserve">  </t>
    </r>
  </si>
  <si>
    <r>
      <t>Q</t>
    </r>
    <r>
      <rPr>
        <vertAlign val="subscript"/>
        <sz val="9"/>
        <rFont val="Arial"/>
        <family val="2"/>
      </rPr>
      <t>Tot.Landing.ULS</t>
    </r>
    <r>
      <rPr>
        <sz val="9"/>
        <rFont val="Arial"/>
        <family val="2"/>
      </rPr>
      <t>+Q</t>
    </r>
    <r>
      <rPr>
        <vertAlign val="subscript"/>
        <sz val="9"/>
        <rFont val="Arial"/>
        <family val="2"/>
      </rPr>
      <t>Tot.Flights.ULS</t>
    </r>
    <r>
      <rPr>
        <sz val="9"/>
        <rFont val="Arial"/>
        <family val="2"/>
      </rPr>
      <t>=</t>
    </r>
  </si>
  <si>
    <t>Vertical load on rear inserts in landing - from self weight of landing (calculated by scaling of load)</t>
  </si>
  <si>
    <r>
      <t>F</t>
    </r>
    <r>
      <rPr>
        <vertAlign val="subscript"/>
        <sz val="12"/>
        <rFont val="Arial"/>
        <family val="2"/>
      </rPr>
      <t xml:space="preserve">Rear.ULS.Flight </t>
    </r>
    <r>
      <rPr>
        <sz val="12"/>
        <rFont val="Arial"/>
        <family val="2"/>
      </rPr>
      <t xml:space="preserve">  </t>
    </r>
  </si>
  <si>
    <r>
      <t>F</t>
    </r>
    <r>
      <rPr>
        <vertAlign val="subscript"/>
        <sz val="12"/>
        <rFont val="Arial"/>
        <family val="2"/>
      </rPr>
      <t xml:space="preserve">Front.ULS.Flight   </t>
    </r>
  </si>
  <si>
    <t>recommended reinforcement pattern, see Memo 54 and 55</t>
  </si>
  <si>
    <t xml:space="preserve">recommended reinforcement pattern, see Memo 65/65A  </t>
  </si>
  <si>
    <t>RVK 101</t>
  </si>
  <si>
    <t>TSS 102</t>
  </si>
  <si>
    <t>TSS 25 L</t>
  </si>
  <si>
    <t>TSS 20 FA</t>
  </si>
  <si>
    <r>
      <t xml:space="preserve">       F</t>
    </r>
    <r>
      <rPr>
        <vertAlign val="subscript"/>
        <sz val="12"/>
        <rFont val="Arial"/>
        <family val="2"/>
      </rPr>
      <t xml:space="preserve">Front.ULS.Landing   </t>
    </r>
  </si>
  <si>
    <t>Vertical load on each of the two rear inserts</t>
  </si>
  <si>
    <t>Vertical load on each of the two front inserts</t>
  </si>
  <si>
    <t>Vertical load on each of the four inserts</t>
  </si>
  <si>
    <t xml:space="preserve">[-] </t>
  </si>
  <si>
    <r>
      <t>Tread No</t>
    </r>
    <r>
      <rPr>
        <vertAlign val="superscript"/>
        <sz val="12"/>
        <rFont val="Arial"/>
        <family val="2"/>
      </rPr>
      <t xml:space="preserve"> </t>
    </r>
    <r>
      <rPr>
        <sz val="12"/>
        <rFont val="Arial"/>
        <family val="2"/>
      </rPr>
      <t>(Shall equal C/G)</t>
    </r>
  </si>
  <si>
    <t>MAXIMUM ULS LOAD ON INSERTS IN LANDING</t>
  </si>
  <si>
    <t>MAXIMUM ULS LOAD ON INSERTS IN FLIGHT</t>
  </si>
  <si>
    <t>LOAD ON LANDING CONNECTIONS FROM ONE FLIGHT ALONE: BY MOMENTS ABOUT REAR INSERT:</t>
  </si>
  <si>
    <t>Equilibrium of one half of landing and one flight. Assuming symmetry. Considering vertical load from flights to act at distance N from landing edge</t>
  </si>
  <si>
    <t xml:space="preserve">Temporary: 
Net vertical load on each of the two rear inserts
when live load only on flight. </t>
  </si>
  <si>
    <t>Total weight of landing =</t>
  </si>
  <si>
    <t>Dist. to front insert (I)</t>
  </si>
  <si>
    <t>Dist. to rear insert (J)</t>
  </si>
  <si>
    <t>Dist. from landing
edge to stair point load (N)</t>
  </si>
  <si>
    <r>
      <t>Q</t>
    </r>
    <r>
      <rPr>
        <b/>
        <vertAlign val="subscript"/>
        <sz val="12"/>
        <rFont val="Arial"/>
        <family val="2"/>
      </rPr>
      <t>Tot.Landing.ULS</t>
    </r>
    <r>
      <rPr>
        <b/>
        <sz val="12"/>
        <rFont val="Arial"/>
        <family val="2"/>
      </rPr>
      <t>=</t>
    </r>
  </si>
  <si>
    <r>
      <t>Q</t>
    </r>
    <r>
      <rPr>
        <b/>
        <vertAlign val="subscript"/>
        <sz val="12"/>
        <rFont val="Arial"/>
        <family val="2"/>
      </rPr>
      <t>Tot.One.Flight.ULS</t>
    </r>
    <r>
      <rPr>
        <b/>
        <sz val="12"/>
        <rFont val="Arial"/>
        <family val="2"/>
      </rPr>
      <t>=</t>
    </r>
  </si>
  <si>
    <t>Vertical load on rear inserts in landing - from ULS load on flight</t>
  </si>
  <si>
    <t>-</t>
  </si>
  <si>
    <t>LOAD ON LANDING CONNECTIONS FROM LANDING ALONE: BY MOMENTS ABOUT REAR INSERT:</t>
  </si>
  <si>
    <t>RVK 60 P</t>
  </si>
  <si>
    <t>TSS 60 P</t>
  </si>
  <si>
    <t>TSS  101</t>
  </si>
  <si>
    <t>1.0</t>
  </si>
  <si>
    <t>First edition</t>
  </si>
  <si>
    <t>1.1</t>
  </si>
  <si>
    <t>1.2</t>
  </si>
  <si>
    <t>1.4</t>
  </si>
  <si>
    <t>Removed TSS41</t>
  </si>
  <si>
    <t>1.3</t>
  </si>
  <si>
    <t>New layout</t>
  </si>
  <si>
    <t>Included illustration of all units</t>
  </si>
  <si>
    <t>1.5</t>
  </si>
  <si>
    <t>Prepared by:</t>
  </si>
  <si>
    <t>Approved by:</t>
  </si>
  <si>
    <t>Included signatures</t>
  </si>
  <si>
    <t>Comments:</t>
  </si>
  <si>
    <t>Release date:</t>
  </si>
  <si>
    <t>Revision:</t>
  </si>
  <si>
    <t>Checked by:</t>
  </si>
  <si>
    <t>Black numbers: Results from calculations.</t>
  </si>
  <si>
    <t xml:space="preserve">                                                                                                                     Version 1.6 - Release date 24.02.2025</t>
  </si>
  <si>
    <t>1.6</t>
  </si>
  <si>
    <t xml:space="preserve">Changed startup values for 
landing geometry. No other
changes.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</si>
</sst>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kN&quot;"/>
    <numFmt numFmtId="165" formatCode="0\ &quot;mm&quot;"/>
    <numFmt numFmtId="166" formatCode="0.00\ &quot;kN/sqm&quot;"/>
    <numFmt numFmtId="167" formatCode="0\ &quot;kN/m3&quot;"/>
    <numFmt numFmtId="168" formatCode="0.00\ &quot;m&quot;"/>
    <numFmt numFmtId="169" formatCode="0.000000"/>
  </numFmts>
  <fonts count="29" x14ac:knownFonts="1">
    <font>
      <sz val="10"/>
      <name val="Arial"/>
    </font>
    <font>
      <b/>
      <sz val="12"/>
      <name val="Arial"/>
      <family val="2"/>
    </font>
    <font>
      <b/>
      <sz val="14"/>
      <name val="Arial"/>
      <family val="2"/>
    </font>
    <font>
      <sz val="10"/>
      <name val="Arial"/>
      <family val="2"/>
    </font>
    <font>
      <sz val="12"/>
      <name val="Arial"/>
      <family val="2"/>
    </font>
    <font>
      <b/>
      <u/>
      <sz val="12"/>
      <name val="Arial"/>
      <family val="2"/>
    </font>
    <font>
      <i/>
      <sz val="12"/>
      <name val="Arial"/>
      <family val="2"/>
    </font>
    <font>
      <vertAlign val="superscript"/>
      <sz val="12"/>
      <name val="Arial"/>
      <family val="2"/>
    </font>
    <font>
      <vertAlign val="subscript"/>
      <sz val="12"/>
      <name val="Arial"/>
      <family val="2"/>
    </font>
    <font>
      <b/>
      <i/>
      <sz val="12"/>
      <name val="Arial"/>
      <family val="2"/>
    </font>
    <font>
      <b/>
      <sz val="12"/>
      <color rgb="FF00B0F0"/>
      <name val="Arial"/>
      <family val="2"/>
    </font>
    <font>
      <sz val="10"/>
      <color rgb="FFFF0000"/>
      <name val="Arial"/>
      <family val="2"/>
    </font>
    <font>
      <b/>
      <sz val="12"/>
      <color rgb="FF00B050"/>
      <name val="Arial"/>
      <family val="2"/>
    </font>
    <font>
      <b/>
      <sz val="10"/>
      <color rgb="FF00B0F0"/>
      <name val="Arial"/>
      <family val="2"/>
    </font>
    <font>
      <b/>
      <i/>
      <sz val="12"/>
      <color rgb="FF00B050"/>
      <name val="Arial"/>
      <family val="2"/>
    </font>
    <font>
      <sz val="12"/>
      <color rgb="FFFF0000"/>
      <name val="Arial"/>
      <family val="2"/>
    </font>
    <font>
      <i/>
      <u/>
      <sz val="12"/>
      <name val="Arial"/>
      <family val="2"/>
    </font>
    <font>
      <i/>
      <u/>
      <sz val="10"/>
      <name val="Arial"/>
      <family val="2"/>
    </font>
    <font>
      <b/>
      <sz val="10"/>
      <name val="Arial"/>
      <family val="2"/>
    </font>
    <font>
      <sz val="9"/>
      <name val="Arial"/>
      <family val="2"/>
    </font>
    <font>
      <i/>
      <sz val="9"/>
      <name val="Arial"/>
      <family val="2"/>
    </font>
    <font>
      <b/>
      <i/>
      <sz val="10"/>
      <name val="Arial"/>
      <family val="2"/>
    </font>
    <font>
      <vertAlign val="subscript"/>
      <sz val="9"/>
      <name val="Arial"/>
      <family val="2"/>
    </font>
    <font>
      <sz val="8"/>
      <name val="Arial"/>
      <family val="2"/>
    </font>
    <font>
      <i/>
      <sz val="12"/>
      <color rgb="FF00B050"/>
      <name val="Arial"/>
      <family val="2"/>
    </font>
    <font>
      <b/>
      <sz val="12"/>
      <color theme="1"/>
      <name val="Arial"/>
      <family val="2"/>
    </font>
    <font>
      <b/>
      <vertAlign val="subscript"/>
      <sz val="12"/>
      <name val="Arial"/>
      <family val="2"/>
    </font>
    <font>
      <sz val="9"/>
      <color theme="1"/>
      <name val="Arial"/>
      <family val="2"/>
    </font>
    <font>
      <b/>
      <sz val="11"/>
      <name val="Arial"/>
      <family val="2"/>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89">
    <xf numFmtId="0" fontId="0" fillId="0" borderId="0" xfId="0"/>
    <xf numFmtId="2" fontId="10" fillId="0" borderId="0" xfId="0" applyNumberFormat="1" applyFont="1" applyProtection="1">
      <protection locked="0"/>
    </xf>
    <xf numFmtId="1" fontId="10" fillId="0" borderId="0" xfId="0" applyNumberFormat="1" applyFont="1" applyProtection="1">
      <protection locked="0"/>
    </xf>
    <xf numFmtId="0" fontId="1" fillId="0" borderId="12" xfId="0" applyFont="1" applyBorder="1"/>
    <xf numFmtId="0" fontId="0" fillId="0" borderId="8" xfId="0" applyBorder="1"/>
    <xf numFmtId="0" fontId="4" fillId="0" borderId="0" xfId="0" applyFont="1"/>
    <xf numFmtId="0" fontId="4" fillId="0" borderId="0" xfId="0" applyFont="1" applyAlignment="1">
      <alignment horizontal="right"/>
    </xf>
    <xf numFmtId="165" fontId="4" fillId="0" borderId="0" xfId="0" applyNumberFormat="1" applyFont="1"/>
    <xf numFmtId="0" fontId="6" fillId="0" borderId="12" xfId="0" applyFont="1" applyBorder="1"/>
    <xf numFmtId="0" fontId="4" fillId="0" borderId="12" xfId="0" applyFont="1" applyBorder="1"/>
    <xf numFmtId="164" fontId="4" fillId="0" borderId="0" xfId="0" applyNumberFormat="1" applyFont="1" applyAlignment="1">
      <alignment horizontal="right"/>
    </xf>
    <xf numFmtId="0" fontId="4" fillId="0" borderId="8" xfId="0" applyFont="1" applyBorder="1"/>
    <xf numFmtId="0" fontId="4" fillId="0" borderId="0" xfId="0" applyFont="1" applyAlignment="1">
      <alignment horizontal="center"/>
    </xf>
    <xf numFmtId="164" fontId="4" fillId="0" borderId="0" xfId="0" applyNumberFormat="1" applyFont="1" applyAlignment="1">
      <alignment horizontal="left"/>
    </xf>
    <xf numFmtId="164" fontId="12" fillId="0" borderId="8" xfId="0" applyNumberFormat="1" applyFont="1" applyBorder="1" applyAlignment="1">
      <alignment horizontal="left"/>
    </xf>
    <xf numFmtId="0" fontId="0" fillId="0" borderId="12" xfId="0" applyBorder="1"/>
    <xf numFmtId="0" fontId="0" fillId="0" borderId="0" xfId="0" applyAlignment="1">
      <alignment horizontal="right"/>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164" fontId="12" fillId="0" borderId="0" xfId="0" applyNumberFormat="1" applyFont="1" applyAlignment="1">
      <alignment horizontal="left"/>
    </xf>
    <xf numFmtId="0" fontId="4" fillId="0" borderId="0" xfId="0" applyFont="1" applyAlignment="1">
      <alignment horizontal="center" vertical="center"/>
    </xf>
    <xf numFmtId="164" fontId="4" fillId="0" borderId="0" xfId="0" applyNumberFormat="1" applyFont="1"/>
    <xf numFmtId="165" fontId="4" fillId="0" borderId="0" xfId="0" applyNumberFormat="1" applyFont="1" applyAlignment="1">
      <alignment horizontal="center" vertical="center"/>
    </xf>
    <xf numFmtId="166" fontId="4" fillId="0" borderId="0" xfId="0" applyNumberFormat="1" applyFont="1" applyAlignment="1">
      <alignment horizontal="left" vertical="center"/>
    </xf>
    <xf numFmtId="0" fontId="12" fillId="0" borderId="0" xfId="0" applyFont="1"/>
    <xf numFmtId="167" fontId="4" fillId="0" borderId="0" xfId="0" applyNumberFormat="1" applyFont="1" applyAlignment="1">
      <alignment horizontal="left" vertical="center"/>
    </xf>
    <xf numFmtId="0" fontId="4" fillId="0" borderId="12" xfId="0" applyFont="1" applyBorder="1" applyAlignment="1">
      <alignment vertical="center"/>
    </xf>
    <xf numFmtId="0" fontId="11" fillId="0" borderId="8" xfId="0" applyFont="1" applyBorder="1"/>
    <xf numFmtId="2" fontId="4" fillId="0" borderId="0" xfId="0" applyNumberFormat="1" applyFont="1" applyAlignment="1">
      <alignment horizontal="left"/>
    </xf>
    <xf numFmtId="2" fontId="4" fillId="0" borderId="8" xfId="0" applyNumberFormat="1" applyFont="1" applyBorder="1" applyAlignment="1">
      <alignment horizontal="left"/>
    </xf>
    <xf numFmtId="0" fontId="5" fillId="0" borderId="12" xfId="0" applyFont="1" applyBorder="1"/>
    <xf numFmtId="0" fontId="1" fillId="0" borderId="0" xfId="0" applyFont="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3" fillId="0" borderId="0" xfId="0" applyFont="1"/>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Alignment="1">
      <alignment vertical="center"/>
    </xf>
    <xf numFmtId="0" fontId="2" fillId="0" borderId="8" xfId="0" applyFont="1" applyBorder="1" applyAlignment="1">
      <alignment vertical="center"/>
    </xf>
    <xf numFmtId="0" fontId="0" fillId="0" borderId="7" xfId="0" applyBorder="1" applyAlignment="1">
      <alignment vertical="center"/>
    </xf>
    <xf numFmtId="0" fontId="0" fillId="0" borderId="0" xfId="0" applyAlignment="1">
      <alignment vertical="center"/>
    </xf>
    <xf numFmtId="0" fontId="0" fillId="0" borderId="8" xfId="0" applyBorder="1" applyAlignment="1">
      <alignment vertical="center"/>
    </xf>
    <xf numFmtId="0" fontId="2" fillId="0" borderId="1" xfId="0" applyFont="1" applyBorder="1" applyAlignment="1">
      <alignment horizontal="righ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3" fillId="0" borderId="0" xfId="0" applyFont="1" applyAlignment="1">
      <alignment wrapText="1"/>
    </xf>
    <xf numFmtId="2" fontId="3" fillId="0" borderId="0" xfId="0" applyNumberFormat="1" applyFont="1"/>
    <xf numFmtId="0" fontId="1" fillId="0" borderId="0" xfId="0" applyFont="1" applyAlignment="1">
      <alignment horizontal="left" vertical="center"/>
    </xf>
    <xf numFmtId="164" fontId="4" fillId="0" borderId="12" xfId="0" applyNumberFormat="1" applyFont="1" applyBorder="1" applyAlignment="1">
      <alignment horizontal="left"/>
    </xf>
    <xf numFmtId="0" fontId="0" fillId="0" borderId="10" xfId="0" applyBorder="1"/>
    <xf numFmtId="165" fontId="4" fillId="0" borderId="10" xfId="0" applyNumberFormat="1" applyFont="1" applyBorder="1" applyAlignment="1">
      <alignment horizontal="center" vertical="center"/>
    </xf>
    <xf numFmtId="0" fontId="3" fillId="3" borderId="0" xfId="0" applyFont="1" applyFill="1"/>
    <xf numFmtId="0" fontId="6" fillId="0" borderId="16" xfId="0" applyFont="1" applyBorder="1"/>
    <xf numFmtId="0" fontId="6" fillId="0" borderId="0" xfId="0" applyFont="1"/>
    <xf numFmtId="0" fontId="4" fillId="0" borderId="10" xfId="0" applyFont="1" applyBorder="1" applyAlignment="1">
      <alignment horizontal="right"/>
    </xf>
    <xf numFmtId="0" fontId="12" fillId="0" borderId="8" xfId="0" applyFont="1" applyBorder="1" applyAlignment="1">
      <alignment horizontal="left" wrapText="1"/>
    </xf>
    <xf numFmtId="0" fontId="14" fillId="0" borderId="8" xfId="0" applyFont="1" applyBorder="1" applyAlignment="1">
      <alignment horizontal="left" wrapText="1"/>
    </xf>
    <xf numFmtId="0" fontId="1" fillId="0" borderId="10" xfId="0" applyFont="1" applyBorder="1" applyAlignment="1">
      <alignment horizontal="left"/>
    </xf>
    <xf numFmtId="2" fontId="13" fillId="0" borderId="10" xfId="0" applyNumberFormat="1" applyFont="1" applyBorder="1"/>
    <xf numFmtId="166" fontId="4" fillId="0" borderId="0" xfId="0" applyNumberFormat="1" applyFont="1" applyAlignment="1">
      <alignment horizontal="left"/>
    </xf>
    <xf numFmtId="0" fontId="4" fillId="0" borderId="0" xfId="0" applyFont="1" applyAlignment="1">
      <alignment wrapText="1"/>
    </xf>
    <xf numFmtId="0" fontId="12" fillId="0" borderId="0" xfId="0" applyFont="1" applyAlignment="1">
      <alignment vertical="top" wrapText="1"/>
    </xf>
    <xf numFmtId="0" fontId="4" fillId="0" borderId="0" xfId="0" applyFont="1" applyAlignment="1">
      <alignment horizontal="left" vertical="center" wrapText="1"/>
    </xf>
    <xf numFmtId="164" fontId="4" fillId="0" borderId="10" xfId="0" applyNumberFormat="1" applyFont="1" applyBorder="1" applyAlignment="1">
      <alignment horizontal="left"/>
    </xf>
    <xf numFmtId="0" fontId="16" fillId="0" borderId="12" xfId="0" applyFont="1" applyBorder="1"/>
    <xf numFmtId="2" fontId="1" fillId="0" borderId="0" xfId="0" applyNumberFormat="1" applyFont="1"/>
    <xf numFmtId="165" fontId="4" fillId="0" borderId="0" xfId="0" applyNumberFormat="1" applyFont="1" applyAlignment="1">
      <alignment horizontal="center"/>
    </xf>
    <xf numFmtId="0" fontId="1" fillId="3" borderId="12" xfId="0" applyFont="1" applyFill="1" applyBorder="1" applyAlignment="1">
      <alignment horizontal="left"/>
    </xf>
    <xf numFmtId="0" fontId="1" fillId="3" borderId="0" xfId="0" applyFont="1" applyFill="1" applyAlignment="1">
      <alignment horizontal="left"/>
    </xf>
    <xf numFmtId="165" fontId="15" fillId="0" borderId="0" xfId="0" applyNumberFormat="1" applyFont="1"/>
    <xf numFmtId="0" fontId="18" fillId="0" borderId="0" xfId="0" applyFont="1"/>
    <xf numFmtId="0" fontId="6" fillId="0" borderId="0" xfId="0" applyFont="1" applyAlignment="1">
      <alignment horizontal="right" vertical="center"/>
    </xf>
    <xf numFmtId="0" fontId="21" fillId="0" borderId="0" xfId="0" applyFont="1"/>
    <xf numFmtId="0" fontId="1" fillId="2" borderId="16" xfId="0" applyFont="1" applyFill="1" applyBorder="1"/>
    <xf numFmtId="0" fontId="1" fillId="2" borderId="10" xfId="0" applyFont="1" applyFill="1" applyBorder="1"/>
    <xf numFmtId="0" fontId="4" fillId="0" borderId="0" xfId="0" applyFont="1" applyAlignment="1">
      <alignment horizontal="left"/>
    </xf>
    <xf numFmtId="0" fontId="17" fillId="0" borderId="0" xfId="0" applyFont="1"/>
    <xf numFmtId="0" fontId="1" fillId="0" borderId="0" xfId="0" applyFont="1"/>
    <xf numFmtId="0" fontId="4" fillId="4" borderId="10" xfId="0" applyFont="1" applyFill="1" applyBorder="1" applyAlignment="1">
      <alignment vertical="center"/>
    </xf>
    <xf numFmtId="0" fontId="1" fillId="4" borderId="16" xfId="0" applyFont="1" applyFill="1" applyBorder="1"/>
    <xf numFmtId="0" fontId="4" fillId="4" borderId="10" xfId="0" applyFont="1" applyFill="1" applyBorder="1"/>
    <xf numFmtId="0" fontId="12" fillId="4" borderId="10" xfId="0" applyFont="1" applyFill="1" applyBorder="1" applyAlignment="1">
      <alignment vertical="top" wrapText="1"/>
    </xf>
    <xf numFmtId="164" fontId="12" fillId="0" borderId="0" xfId="0" applyNumberFormat="1" applyFont="1" applyAlignment="1">
      <alignment vertical="center"/>
    </xf>
    <xf numFmtId="164" fontId="12" fillId="0" borderId="0" xfId="0" applyNumberFormat="1" applyFont="1" applyAlignment="1">
      <alignment horizontal="right"/>
    </xf>
    <xf numFmtId="165" fontId="4" fillId="0" borderId="0" xfId="0" applyNumberFormat="1" applyFont="1" applyAlignment="1">
      <alignment horizontal="right"/>
    </xf>
    <xf numFmtId="165" fontId="4" fillId="0" borderId="12" xfId="0" applyNumberFormat="1" applyFont="1" applyBorder="1" applyAlignment="1">
      <alignment horizontal="center"/>
    </xf>
    <xf numFmtId="169" fontId="0" fillId="0" borderId="0" xfId="0" applyNumberFormat="1"/>
    <xf numFmtId="0" fontId="3" fillId="0" borderId="0" xfId="0" applyFont="1" applyAlignment="1">
      <alignment horizontal="right"/>
    </xf>
    <xf numFmtId="168" fontId="4" fillId="0" borderId="0" xfId="0" applyNumberFormat="1" applyFont="1" applyAlignment="1">
      <alignment horizontal="right"/>
    </xf>
    <xf numFmtId="0" fontId="9" fillId="0" borderId="23" xfId="0" applyFont="1" applyBorder="1"/>
    <xf numFmtId="0" fontId="0" fillId="0" borderId="24" xfId="0" applyBorder="1"/>
    <xf numFmtId="0" fontId="4" fillId="0" borderId="24" xfId="0" applyFont="1" applyBorder="1" applyAlignment="1">
      <alignment horizontal="right" vertical="center"/>
    </xf>
    <xf numFmtId="0" fontId="0" fillId="3" borderId="0" xfId="0" applyFill="1"/>
    <xf numFmtId="0" fontId="16" fillId="0" borderId="0" xfId="0" applyFont="1"/>
    <xf numFmtId="0" fontId="9" fillId="0" borderId="24" xfId="0" applyFont="1" applyBorder="1"/>
    <xf numFmtId="0" fontId="0" fillId="0" borderId="23" xfId="0" applyBorder="1"/>
    <xf numFmtId="165" fontId="4" fillId="0" borderId="0" xfId="0" applyNumberFormat="1" applyFont="1" applyAlignment="1">
      <alignment horizontal="left" vertical="center"/>
    </xf>
    <xf numFmtId="0" fontId="20" fillId="0" borderId="23" xfId="0" applyFont="1" applyBorder="1"/>
    <xf numFmtId="0" fontId="19" fillId="0" borderId="24" xfId="0" applyFont="1" applyBorder="1" applyAlignment="1">
      <alignment horizontal="right"/>
    </xf>
    <xf numFmtId="0" fontId="3" fillId="0" borderId="24" xfId="0" applyFont="1" applyBorder="1"/>
    <xf numFmtId="165" fontId="4" fillId="0" borderId="24" xfId="0" applyNumberFormat="1" applyFont="1" applyBorder="1" applyAlignment="1">
      <alignment horizontal="center" vertical="center"/>
    </xf>
    <xf numFmtId="0" fontId="4" fillId="0" borderId="24" xfId="0" applyFont="1" applyBorder="1"/>
    <xf numFmtId="0" fontId="4" fillId="0" borderId="25" xfId="0" applyFont="1" applyBorder="1"/>
    <xf numFmtId="0" fontId="1" fillId="0" borderId="15" xfId="0" applyFont="1" applyBorder="1"/>
    <xf numFmtId="165" fontId="1" fillId="4" borderId="24" xfId="0" applyNumberFormat="1" applyFont="1" applyFill="1" applyBorder="1" applyAlignment="1">
      <alignment horizontal="left" vertical="center"/>
    </xf>
    <xf numFmtId="165" fontId="1" fillId="4" borderId="23" xfId="0" applyNumberFormat="1" applyFont="1" applyFill="1" applyBorder="1" applyAlignment="1">
      <alignment horizontal="left" vertical="center"/>
    </xf>
    <xf numFmtId="0" fontId="1" fillId="0" borderId="24" xfId="0" applyFont="1" applyBorder="1" applyAlignment="1">
      <alignment horizontal="right" vertical="center"/>
    </xf>
    <xf numFmtId="0" fontId="1" fillId="0" borderId="24" xfId="0" applyFont="1" applyBorder="1" applyAlignment="1">
      <alignment vertical="center"/>
    </xf>
    <xf numFmtId="0" fontId="1" fillId="0" borderId="24" xfId="0" applyFont="1" applyBorder="1" applyAlignment="1">
      <alignment horizontal="right"/>
    </xf>
    <xf numFmtId="164" fontId="12" fillId="0" borderId="24" xfId="0" applyNumberFormat="1" applyFont="1" applyBorder="1" applyAlignment="1">
      <alignment horizontal="left"/>
    </xf>
    <xf numFmtId="165" fontId="4" fillId="0" borderId="24" xfId="0" applyNumberFormat="1" applyFont="1" applyBorder="1"/>
    <xf numFmtId="0" fontId="18" fillId="0" borderId="24" xfId="0" applyFont="1" applyBorder="1"/>
    <xf numFmtId="0" fontId="0" fillId="0" borderId="26" xfId="0" applyBorder="1"/>
    <xf numFmtId="0" fontId="6" fillId="0" borderId="27" xfId="0" applyFont="1" applyBorder="1"/>
    <xf numFmtId="0" fontId="4" fillId="0" borderId="28" xfId="0" applyFont="1" applyBorder="1" applyAlignment="1">
      <alignment horizontal="right" vertical="center"/>
    </xf>
    <xf numFmtId="0" fontId="4" fillId="0" borderId="28" xfId="0" applyFont="1" applyBorder="1" applyAlignment="1">
      <alignment vertical="center"/>
    </xf>
    <xf numFmtId="0" fontId="4" fillId="0" borderId="28" xfId="0" applyFont="1" applyBorder="1"/>
    <xf numFmtId="0" fontId="0" fillId="0" borderId="28" xfId="0" applyBorder="1"/>
    <xf numFmtId="165" fontId="15" fillId="0" borderId="28" xfId="0" applyNumberFormat="1" applyFont="1" applyBorder="1"/>
    <xf numFmtId="164" fontId="12" fillId="0" borderId="12" xfId="0" applyNumberFormat="1" applyFont="1" applyBorder="1" applyAlignment="1">
      <alignment horizontal="left"/>
    </xf>
    <xf numFmtId="0" fontId="24" fillId="0" borderId="0" xfId="0" applyFont="1"/>
    <xf numFmtId="0" fontId="4" fillId="0" borderId="12" xfId="0" applyFont="1" applyBorder="1" applyAlignment="1">
      <alignment horizontal="left"/>
    </xf>
    <xf numFmtId="165" fontId="4" fillId="0" borderId="12" xfId="0" applyNumberFormat="1" applyFont="1" applyBorder="1"/>
    <xf numFmtId="0" fontId="9" fillId="0" borderId="12" xfId="0" applyFont="1" applyBorder="1"/>
    <xf numFmtId="0" fontId="1" fillId="0" borderId="0" xfId="0" applyFont="1" applyAlignment="1">
      <alignment vertical="center"/>
    </xf>
    <xf numFmtId="0" fontId="1" fillId="0" borderId="0" xfId="0" applyFont="1" applyAlignment="1">
      <alignment horizontal="right"/>
    </xf>
    <xf numFmtId="0" fontId="18" fillId="0" borderId="12" xfId="0" applyFont="1" applyBorder="1" applyAlignment="1">
      <alignment horizontal="left"/>
    </xf>
    <xf numFmtId="0" fontId="18" fillId="0" borderId="0" xfId="0" applyFont="1" applyAlignment="1">
      <alignment horizontal="right"/>
    </xf>
    <xf numFmtId="0" fontId="18" fillId="0" borderId="0" xfId="0" applyFont="1" applyAlignment="1">
      <alignment horizontal="left"/>
    </xf>
    <xf numFmtId="164" fontId="12" fillId="0" borderId="26" xfId="0" applyNumberFormat="1" applyFont="1" applyBorder="1" applyAlignment="1">
      <alignment horizontal="left"/>
    </xf>
    <xf numFmtId="0" fontId="18" fillId="0" borderId="23" xfId="0" applyFont="1" applyBorder="1"/>
    <xf numFmtId="0" fontId="0" fillId="0" borderId="0" xfId="0" applyAlignment="1">
      <alignment horizontal="center"/>
    </xf>
    <xf numFmtId="0" fontId="0" fillId="0" borderId="12" xfId="0" applyBorder="1" applyAlignment="1">
      <alignment horizontal="center"/>
    </xf>
    <xf numFmtId="0" fontId="0" fillId="0" borderId="0" xfId="0" applyAlignment="1">
      <alignment horizontal="center" vertical="center"/>
    </xf>
    <xf numFmtId="0" fontId="25" fillId="0" borderId="0" xfId="0" applyFont="1"/>
    <xf numFmtId="0" fontId="25" fillId="0" borderId="0" xfId="0" applyFont="1" applyAlignment="1">
      <alignment horizontal="right" vertical="top" wrapText="1"/>
    </xf>
    <xf numFmtId="0" fontId="1" fillId="0" borderId="12" xfId="0" applyFont="1" applyBorder="1" applyAlignment="1">
      <alignment horizontal="right"/>
    </xf>
    <xf numFmtId="0" fontId="25" fillId="0" borderId="0" xfId="0" applyFont="1" applyAlignment="1">
      <alignment horizontal="left" vertical="top" wrapText="1"/>
    </xf>
    <xf numFmtId="0" fontId="0" fillId="0" borderId="0" xfId="0" applyAlignment="1">
      <alignment horizontal="left" vertical="center"/>
    </xf>
    <xf numFmtId="0" fontId="12" fillId="0" borderId="0" xfId="0" applyFont="1" applyAlignment="1">
      <alignment horizontal="left"/>
    </xf>
    <xf numFmtId="164" fontId="1" fillId="0" borderId="24" xfId="0" applyNumberFormat="1" applyFont="1" applyBorder="1" applyAlignment="1">
      <alignment horizontal="left"/>
    </xf>
    <xf numFmtId="164" fontId="25" fillId="0" borderId="0" xfId="0" applyNumberFormat="1" applyFont="1" applyAlignment="1">
      <alignment horizontal="left"/>
    </xf>
    <xf numFmtId="0" fontId="27" fillId="0" borderId="24" xfId="0" applyFont="1" applyBorder="1" applyAlignment="1">
      <alignment horizontal="left"/>
    </xf>
    <xf numFmtId="164" fontId="25" fillId="0" borderId="28" xfId="0" applyNumberFormat="1" applyFont="1" applyBorder="1" applyAlignment="1">
      <alignment horizontal="left"/>
    </xf>
    <xf numFmtId="0" fontId="12" fillId="0" borderId="0" xfId="0" applyFont="1" applyAlignment="1">
      <alignment horizontal="left" vertical="top" wrapText="1"/>
    </xf>
    <xf numFmtId="0" fontId="0" fillId="0" borderId="0" xfId="0" applyAlignment="1">
      <alignment horizontal="left"/>
    </xf>
    <xf numFmtId="0" fontId="6" fillId="0" borderId="12" xfId="0" applyFont="1" applyBorder="1" applyAlignment="1">
      <alignment horizontal="left" wrapText="1"/>
    </xf>
    <xf numFmtId="0" fontId="6" fillId="0" borderId="0" xfId="0" applyFont="1" applyAlignment="1">
      <alignment horizontal="left" wrapText="1"/>
    </xf>
    <xf numFmtId="2" fontId="10" fillId="0" borderId="0" xfId="0" applyNumberFormat="1" applyFont="1"/>
    <xf numFmtId="1" fontId="10" fillId="0" borderId="0" xfId="0" applyNumberFormat="1" applyFont="1"/>
    <xf numFmtId="0" fontId="18" fillId="0" borderId="4" xfId="0" applyFont="1" applyBorder="1" applyAlignment="1">
      <alignment horizontal="center" vertical="center" wrapText="1"/>
    </xf>
    <xf numFmtId="0" fontId="28" fillId="5" borderId="17" xfId="0" applyFont="1" applyFill="1" applyBorder="1" applyAlignment="1">
      <alignment horizontal="center" vertical="center"/>
    </xf>
    <xf numFmtId="0" fontId="28" fillId="5" borderId="1" xfId="0" applyFont="1" applyFill="1" applyBorder="1" applyAlignment="1">
      <alignment horizontal="left" vertical="center"/>
    </xf>
    <xf numFmtId="0" fontId="28" fillId="5" borderId="17" xfId="0" applyFont="1" applyFill="1" applyBorder="1" applyAlignment="1">
      <alignment horizontal="lef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xf>
    <xf numFmtId="0" fontId="0" fillId="0" borderId="1" xfId="0" quotePrefix="1" applyBorder="1" applyAlignment="1">
      <alignment horizontal="center" vertical="center"/>
    </xf>
    <xf numFmtId="0" fontId="0" fillId="0" borderId="1" xfId="0" applyBorder="1" applyAlignment="1">
      <alignment horizontal="left"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2" fillId="0" borderId="20" xfId="0" quotePrefix="1" applyFont="1" applyBorder="1" applyAlignment="1" applyProtection="1">
      <alignment horizontal="left" vertical="center"/>
      <protection locked="0"/>
    </xf>
    <xf numFmtId="0" fontId="2" fillId="0" borderId="21" xfId="0" quotePrefix="1"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17" xfId="0" quotePrefix="1" applyFont="1" applyBorder="1" applyAlignment="1" applyProtection="1">
      <alignment horizontal="left" vertical="center"/>
      <protection locked="0"/>
    </xf>
    <xf numFmtId="0" fontId="2" fillId="0" borderId="18" xfId="0" quotePrefix="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3" fillId="0" borderId="15" xfId="0" applyFont="1" applyBorder="1" applyAlignment="1">
      <alignment horizontal="right"/>
    </xf>
    <xf numFmtId="0" fontId="0" fillId="0" borderId="13" xfId="0" applyBorder="1" applyAlignment="1">
      <alignment horizontal="right"/>
    </xf>
    <xf numFmtId="0" fontId="0" fillId="0" borderId="14" xfId="0" applyBorder="1" applyAlignment="1">
      <alignment horizontal="right"/>
    </xf>
    <xf numFmtId="0" fontId="1" fillId="2" borderId="10" xfId="0" applyFont="1" applyFill="1" applyBorder="1" applyAlignment="1">
      <alignment horizontal="center"/>
    </xf>
    <xf numFmtId="0" fontId="1" fillId="2" borderId="11" xfId="0" applyFont="1" applyFill="1" applyBorder="1" applyAlignment="1">
      <alignment horizontal="center"/>
    </xf>
    <xf numFmtId="14" fontId="2" fillId="0" borderId="17" xfId="0" quotePrefix="1" applyNumberFormat="1" applyFont="1" applyBorder="1" applyAlignment="1" applyProtection="1">
      <alignment horizontal="left" vertical="center"/>
      <protection locked="0"/>
    </xf>
    <xf numFmtId="0" fontId="1" fillId="2" borderId="16" xfId="0" applyFont="1" applyFill="1" applyBorder="1" applyAlignment="1">
      <alignment horizontal="left"/>
    </xf>
    <xf numFmtId="0" fontId="1" fillId="2" borderId="10" xfId="0" applyFont="1" applyFill="1" applyBorder="1" applyAlignment="1">
      <alignment horizontal="left"/>
    </xf>
    <xf numFmtId="0" fontId="1" fillId="2" borderId="11" xfId="0" applyFont="1" applyFill="1" applyBorder="1" applyAlignment="1">
      <alignment horizontal="left"/>
    </xf>
    <xf numFmtId="0" fontId="12" fillId="0" borderId="0" xfId="0" applyFont="1" applyAlignment="1">
      <alignment horizontal="left" vertical="top" wrapText="1"/>
    </xf>
    <xf numFmtId="0" fontId="1" fillId="4" borderId="10" xfId="0" applyFont="1" applyFill="1" applyBorder="1" applyAlignment="1">
      <alignment horizontal="left"/>
    </xf>
    <xf numFmtId="0" fontId="0" fillId="0" borderId="0" xfId="0" applyAlignment="1">
      <alignment horizontal="left"/>
    </xf>
    <xf numFmtId="0" fontId="6" fillId="0" borderId="12" xfId="0" applyFont="1" applyBorder="1" applyAlignment="1">
      <alignment horizontal="left" wrapText="1"/>
    </xf>
    <xf numFmtId="0" fontId="6" fillId="0" borderId="0" xfId="0" applyFont="1" applyAlignment="1">
      <alignment horizontal="left" wrapText="1"/>
    </xf>
    <xf numFmtId="0" fontId="2" fillId="0" borderId="19" xfId="0" quotePrefix="1" applyFont="1" applyBorder="1" applyAlignment="1" applyProtection="1">
      <alignment horizontal="left" vertical="center"/>
      <protection locked="0"/>
    </xf>
  </cellXfs>
  <cellStyles count="1">
    <cellStyle name="Normal" xfId="0" builtinId="0"/>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1.jpe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247650</xdr:colOff>
      <xdr:row>23</xdr:row>
      <xdr:rowOff>0</xdr:rowOff>
    </xdr:from>
    <xdr:to>
      <xdr:col>1</xdr:col>
      <xdr:colOff>266700</xdr:colOff>
      <xdr:row>23</xdr:row>
      <xdr:rowOff>180975</xdr:rowOff>
    </xdr:to>
    <xdr:sp macro="" textlink="">
      <xdr:nvSpPr>
        <xdr:cNvPr id="17290" name="Text Box 88">
          <a:extLst>
            <a:ext uri="{FF2B5EF4-FFF2-40B4-BE49-F238E27FC236}">
              <a16:creationId xmlns:a16="http://schemas.microsoft.com/office/drawing/2014/main" id="{620C953E-4703-4DF9-8BC3-BC701CED7297}"/>
            </a:ext>
          </a:extLst>
        </xdr:cNvPr>
        <xdr:cNvSpPr txBox="1">
          <a:spLocks noChangeArrowheads="1"/>
        </xdr:cNvSpPr>
      </xdr:nvSpPr>
      <xdr:spPr bwMode="auto">
        <a:xfrm>
          <a:off x="828675" y="4924425"/>
          <a:ext cx="19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657225</xdr:colOff>
      <xdr:row>24</xdr:row>
      <xdr:rowOff>9525</xdr:rowOff>
    </xdr:from>
    <xdr:to>
      <xdr:col>2</xdr:col>
      <xdr:colOff>676275</xdr:colOff>
      <xdr:row>24</xdr:row>
      <xdr:rowOff>190500</xdr:rowOff>
    </xdr:to>
    <xdr:sp macro="" textlink="">
      <xdr:nvSpPr>
        <xdr:cNvPr id="17291" name="Text Box 88">
          <a:extLst>
            <a:ext uri="{FF2B5EF4-FFF2-40B4-BE49-F238E27FC236}">
              <a16:creationId xmlns:a16="http://schemas.microsoft.com/office/drawing/2014/main" id="{AA422F72-B434-48C0-9719-89D8EBF0C3C3}"/>
            </a:ext>
          </a:extLst>
        </xdr:cNvPr>
        <xdr:cNvSpPr txBox="1">
          <a:spLocks noChangeArrowheads="1"/>
        </xdr:cNvSpPr>
      </xdr:nvSpPr>
      <xdr:spPr bwMode="auto">
        <a:xfrm>
          <a:off x="2524125" y="5124450"/>
          <a:ext cx="19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942974</xdr:colOff>
      <xdr:row>20</xdr:row>
      <xdr:rowOff>6350</xdr:rowOff>
    </xdr:from>
    <xdr:to>
      <xdr:col>4</xdr:col>
      <xdr:colOff>146049</xdr:colOff>
      <xdr:row>22</xdr:row>
      <xdr:rowOff>44450</xdr:rowOff>
    </xdr:to>
    <xdr:sp macro="" textlink="">
      <xdr:nvSpPr>
        <xdr:cNvPr id="6" name="TextBox 5">
          <a:extLst>
            <a:ext uri="{FF2B5EF4-FFF2-40B4-BE49-F238E27FC236}">
              <a16:creationId xmlns:a16="http://schemas.microsoft.com/office/drawing/2014/main" id="{6F103DE8-DC99-4853-9D63-A7E201BE2FAC}"/>
            </a:ext>
          </a:extLst>
        </xdr:cNvPr>
        <xdr:cNvSpPr txBox="1"/>
      </xdr:nvSpPr>
      <xdr:spPr>
        <a:xfrm>
          <a:off x="1704974" y="3425825"/>
          <a:ext cx="174625" cy="41910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nb-NO"/>
        </a:p>
      </xdr:txBody>
    </xdr:sp>
    <xdr:clientData/>
  </xdr:twoCellAnchor>
  <xdr:twoCellAnchor editAs="oneCell">
    <xdr:from>
      <xdr:col>10</xdr:col>
      <xdr:colOff>263978</xdr:colOff>
      <xdr:row>1</xdr:row>
      <xdr:rowOff>19050</xdr:rowOff>
    </xdr:from>
    <xdr:to>
      <xdr:col>12</xdr:col>
      <xdr:colOff>390029</xdr:colOff>
      <xdr:row>5</xdr:row>
      <xdr:rowOff>3357</xdr:rowOff>
    </xdr:to>
    <xdr:pic>
      <xdr:nvPicPr>
        <xdr:cNvPr id="17293" name="Bilde 13">
          <a:extLst>
            <a:ext uri="{FF2B5EF4-FFF2-40B4-BE49-F238E27FC236}">
              <a16:creationId xmlns:a16="http://schemas.microsoft.com/office/drawing/2014/main" id="{B93854F9-B246-40F5-BBF3-CFC4E6E4D2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7765" t="5618" r="70923" b="87868"/>
        <a:stretch>
          <a:fillRect/>
        </a:stretch>
      </xdr:blipFill>
      <xdr:spPr bwMode="auto">
        <a:xfrm>
          <a:off x="13656128" y="219075"/>
          <a:ext cx="2225634" cy="974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1190625</xdr:colOff>
      <xdr:row>94</xdr:row>
      <xdr:rowOff>180975</xdr:rowOff>
    </xdr:from>
    <xdr:to>
      <xdr:col>3</xdr:col>
      <xdr:colOff>1131887</xdr:colOff>
      <xdr:row>94</xdr:row>
      <xdr:rowOff>188913</xdr:rowOff>
    </xdr:to>
    <xdr:cxnSp macro="">
      <xdr:nvCxnSpPr>
        <xdr:cNvPr id="14" name="Straight Connector 13">
          <a:extLst>
            <a:ext uri="{FF2B5EF4-FFF2-40B4-BE49-F238E27FC236}">
              <a16:creationId xmlns:a16="http://schemas.microsoft.com/office/drawing/2014/main" id="{917D148D-509B-40C7-A052-3E945286D735}"/>
            </a:ext>
          </a:extLst>
        </xdr:cNvPr>
        <xdr:cNvCxnSpPr/>
      </xdr:nvCxnSpPr>
      <xdr:spPr>
        <a:xfrm flipV="1">
          <a:off x="1781175" y="18935700"/>
          <a:ext cx="2865437" cy="7938"/>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445615</xdr:colOff>
      <xdr:row>94</xdr:row>
      <xdr:rowOff>230759</xdr:rowOff>
    </xdr:from>
    <xdr:to>
      <xdr:col>3</xdr:col>
      <xdr:colOff>447203</xdr:colOff>
      <xdr:row>97</xdr:row>
      <xdr:rowOff>32321</xdr:rowOff>
    </xdr:to>
    <xdr:cxnSp macro="">
      <xdr:nvCxnSpPr>
        <xdr:cNvPr id="15" name="Straight Arrow Connector 14">
          <a:extLst>
            <a:ext uri="{FF2B5EF4-FFF2-40B4-BE49-F238E27FC236}">
              <a16:creationId xmlns:a16="http://schemas.microsoft.com/office/drawing/2014/main" id="{708B2DF5-ED9F-4D81-9AC3-62E3849AF6F4}"/>
            </a:ext>
          </a:extLst>
        </xdr:cNvPr>
        <xdr:cNvCxnSpPr/>
      </xdr:nvCxnSpPr>
      <xdr:spPr>
        <a:xfrm rot="5400000" flipH="1" flipV="1">
          <a:off x="13606083" y="50630055"/>
          <a:ext cx="485121" cy="158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367675</xdr:colOff>
      <xdr:row>94</xdr:row>
      <xdr:rowOff>179398</xdr:rowOff>
    </xdr:from>
    <xdr:to>
      <xdr:col>2</xdr:col>
      <xdr:colOff>369263</xdr:colOff>
      <xdr:row>96</xdr:row>
      <xdr:rowOff>183402</xdr:rowOff>
    </xdr:to>
    <xdr:cxnSp macro="">
      <xdr:nvCxnSpPr>
        <xdr:cNvPr id="16" name="Straight Arrow Connector 15">
          <a:extLst>
            <a:ext uri="{FF2B5EF4-FFF2-40B4-BE49-F238E27FC236}">
              <a16:creationId xmlns:a16="http://schemas.microsoft.com/office/drawing/2014/main" id="{7570323F-8E3A-425D-8CF6-EA06956E4298}"/>
            </a:ext>
          </a:extLst>
        </xdr:cNvPr>
        <xdr:cNvCxnSpPr/>
      </xdr:nvCxnSpPr>
      <xdr:spPr>
        <a:xfrm rot="5400000" flipH="1" flipV="1">
          <a:off x="2058555" y="19376282"/>
          <a:ext cx="385004" cy="1588"/>
        </a:xfrm>
        <a:prstGeom prst="straightConnector1">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1120890</xdr:colOff>
      <xdr:row>92</xdr:row>
      <xdr:rowOff>8958</xdr:rowOff>
    </xdr:from>
    <xdr:to>
      <xdr:col>3</xdr:col>
      <xdr:colOff>1120890</xdr:colOff>
      <xdr:row>94</xdr:row>
      <xdr:rowOff>176256</xdr:rowOff>
    </xdr:to>
    <xdr:cxnSp macro="">
      <xdr:nvCxnSpPr>
        <xdr:cNvPr id="17" name="Straight Arrow Connector 16">
          <a:extLst>
            <a:ext uri="{FF2B5EF4-FFF2-40B4-BE49-F238E27FC236}">
              <a16:creationId xmlns:a16="http://schemas.microsoft.com/office/drawing/2014/main" id="{0A0E0FBB-704B-4BAF-A4EA-AA3DF035FC48}"/>
            </a:ext>
          </a:extLst>
        </xdr:cNvPr>
        <xdr:cNvCxnSpPr/>
      </xdr:nvCxnSpPr>
      <xdr:spPr>
        <a:xfrm>
          <a:off x="4635615" y="18382683"/>
          <a:ext cx="0" cy="548298"/>
        </a:xfrm>
        <a:prstGeom prst="straightConnector1">
          <a:avLst/>
        </a:prstGeom>
        <a:ln w="317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22411</xdr:colOff>
      <xdr:row>7</xdr:row>
      <xdr:rowOff>67867</xdr:rowOff>
    </xdr:from>
    <xdr:to>
      <xdr:col>2</xdr:col>
      <xdr:colOff>2122713</xdr:colOff>
      <xdr:row>9</xdr:row>
      <xdr:rowOff>89647</xdr:rowOff>
    </xdr:to>
    <xdr:sp macro="" textlink="">
      <xdr:nvSpPr>
        <xdr:cNvPr id="19" name="TextBox 1">
          <a:extLst>
            <a:ext uri="{FF2B5EF4-FFF2-40B4-BE49-F238E27FC236}">
              <a16:creationId xmlns:a16="http://schemas.microsoft.com/office/drawing/2014/main" id="{0E336ED2-3DFF-4875-B032-95F97BA3C451}"/>
            </a:ext>
          </a:extLst>
        </xdr:cNvPr>
        <xdr:cNvSpPr txBox="1"/>
      </xdr:nvSpPr>
      <xdr:spPr>
        <a:xfrm>
          <a:off x="607518" y="1687117"/>
          <a:ext cx="3392981" cy="4027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1" i="0" u="none" strike="noStrike">
              <a:solidFill>
                <a:srgbClr val="00B050"/>
              </a:solidFill>
              <a:effectLst/>
              <a:latin typeface="Arial" panose="020B0604020202020204" pitchFamily="34" charset="0"/>
              <a:ea typeface="+mn-ea"/>
              <a:cs typeface="Arial" panose="020B0604020202020204" pitchFamily="34" charset="0"/>
            </a:rPr>
            <a:t>- REMARK</a:t>
          </a:r>
          <a:r>
            <a:rPr lang="nb-NO" sz="1200" b="1" i="0" u="none" strike="noStrike" baseline="0">
              <a:solidFill>
                <a:srgbClr val="00B050"/>
              </a:solidFill>
              <a:effectLst/>
              <a:latin typeface="Arial" panose="020B0604020202020204" pitchFamily="34" charset="0"/>
              <a:ea typeface="+mn-ea"/>
              <a:cs typeface="Arial" panose="020B0604020202020204" pitchFamily="34" charset="0"/>
            </a:rPr>
            <a:t>: DISCLAIMER</a:t>
          </a:r>
        </a:p>
        <a:p>
          <a:r>
            <a:rPr lang="nb-NO" sz="1200" b="1" i="0" u="none" strike="noStrike" baseline="0">
              <a:solidFill>
                <a:srgbClr val="00B050"/>
              </a:solidFill>
              <a:effectLst/>
              <a:latin typeface="Arial" panose="020B0604020202020204" pitchFamily="34" charset="0"/>
              <a:ea typeface="+mn-ea"/>
              <a:cs typeface="Arial" panose="020B0604020202020204" pitchFamily="34" charset="0"/>
            </a:rPr>
            <a:t> </a:t>
          </a:r>
          <a:r>
            <a:rPr lang="nb-NO" sz="1200" b="1" i="0" u="none" strike="noStrike">
              <a:solidFill>
                <a:srgbClr val="00B050"/>
              </a:solidFill>
              <a:effectLst/>
              <a:latin typeface="Arial" panose="020B0604020202020204" pitchFamily="34" charset="0"/>
              <a:ea typeface="+mn-ea"/>
              <a:cs typeface="Arial" panose="020B0604020202020204" pitchFamily="34" charset="0"/>
            </a:rPr>
            <a:t>.</a:t>
          </a:r>
          <a:r>
            <a:rPr lang="nb-NO" sz="1200">
              <a:solidFill>
                <a:srgbClr val="00B050"/>
              </a:solidFill>
              <a:latin typeface="Arial" panose="020B0604020202020204" pitchFamily="34" charset="0"/>
              <a:cs typeface="Arial" panose="020B0604020202020204" pitchFamily="34" charset="0"/>
            </a:rPr>
            <a:t> </a:t>
          </a:r>
          <a:r>
            <a:rPr lang="nb-NO" sz="1200" b="0" i="0" u="none" strike="noStrike">
              <a:solidFill>
                <a:srgbClr val="00B050"/>
              </a:solidFill>
              <a:effectLst/>
              <a:latin typeface="Arial" panose="020B0604020202020204" pitchFamily="34" charset="0"/>
              <a:ea typeface="+mn-ea"/>
              <a:cs typeface="Arial" panose="020B0604020202020204" pitchFamily="34" charset="0"/>
            </a:rPr>
            <a:t> </a:t>
          </a:r>
          <a:r>
            <a:rPr lang="nb-NO" sz="1200">
              <a:solidFill>
                <a:srgbClr val="00B050"/>
              </a:solidFill>
              <a:latin typeface="Arial" panose="020B0604020202020204" pitchFamily="34" charset="0"/>
              <a:cs typeface="Arial" panose="020B0604020202020204" pitchFamily="34" charset="0"/>
            </a:rPr>
            <a:t> </a:t>
          </a:r>
        </a:p>
      </xdr:txBody>
    </xdr:sp>
    <xdr:clientData/>
  </xdr:twoCellAnchor>
  <xdr:twoCellAnchor editAs="oneCell">
    <xdr:from>
      <xdr:col>8</xdr:col>
      <xdr:colOff>1189761</xdr:colOff>
      <xdr:row>52</xdr:row>
      <xdr:rowOff>77067</xdr:rowOff>
    </xdr:from>
    <xdr:to>
      <xdr:col>9</xdr:col>
      <xdr:colOff>1522648</xdr:colOff>
      <xdr:row>58</xdr:row>
      <xdr:rowOff>129021</xdr:rowOff>
    </xdr:to>
    <xdr:pic>
      <xdr:nvPicPr>
        <xdr:cNvPr id="2" name="Bilde 1">
          <a:extLst>
            <a:ext uri="{FF2B5EF4-FFF2-40B4-BE49-F238E27FC236}">
              <a16:creationId xmlns:a16="http://schemas.microsoft.com/office/drawing/2014/main" id="{FAB43D2B-B7B0-4D7F-AF6D-3338E70948B9}"/>
            </a:ext>
          </a:extLst>
        </xdr:cNvPr>
        <xdr:cNvPicPr>
          <a:picLocks noChangeAspect="1"/>
        </xdr:cNvPicPr>
      </xdr:nvPicPr>
      <xdr:blipFill>
        <a:blip xmlns:r="http://schemas.openxmlformats.org/officeDocument/2006/relationships" r:embed="rId2"/>
        <a:stretch>
          <a:fillRect/>
        </a:stretch>
      </xdr:blipFill>
      <xdr:spPr>
        <a:xfrm>
          <a:off x="12457836" y="11630892"/>
          <a:ext cx="1533037" cy="1252104"/>
        </a:xfrm>
        <a:prstGeom prst="rect">
          <a:avLst/>
        </a:prstGeom>
      </xdr:spPr>
    </xdr:pic>
    <xdr:clientData/>
  </xdr:twoCellAnchor>
  <xdr:twoCellAnchor editAs="oneCell">
    <xdr:from>
      <xdr:col>1</xdr:col>
      <xdr:colOff>138546</xdr:colOff>
      <xdr:row>50</xdr:row>
      <xdr:rowOff>117051</xdr:rowOff>
    </xdr:from>
    <xdr:to>
      <xdr:col>2</xdr:col>
      <xdr:colOff>900545</xdr:colOff>
      <xdr:row>58</xdr:row>
      <xdr:rowOff>105131</xdr:rowOff>
    </xdr:to>
    <xdr:pic>
      <xdr:nvPicPr>
        <xdr:cNvPr id="3" name="Bilde 2">
          <a:extLst>
            <a:ext uri="{FF2B5EF4-FFF2-40B4-BE49-F238E27FC236}">
              <a16:creationId xmlns:a16="http://schemas.microsoft.com/office/drawing/2014/main" id="{E392E002-D3AC-4D70-BDCE-9DACE3B76ADF}"/>
            </a:ext>
          </a:extLst>
        </xdr:cNvPr>
        <xdr:cNvPicPr>
          <a:picLocks noChangeAspect="1"/>
        </xdr:cNvPicPr>
      </xdr:nvPicPr>
      <xdr:blipFill>
        <a:blip xmlns:r="http://schemas.openxmlformats.org/officeDocument/2006/relationships" r:embed="rId3"/>
        <a:stretch>
          <a:fillRect/>
        </a:stretch>
      </xdr:blipFill>
      <xdr:spPr>
        <a:xfrm>
          <a:off x="727364" y="11650960"/>
          <a:ext cx="2043545" cy="1650625"/>
        </a:xfrm>
        <a:prstGeom prst="rect">
          <a:avLst/>
        </a:prstGeom>
      </xdr:spPr>
    </xdr:pic>
    <xdr:clientData/>
  </xdr:twoCellAnchor>
  <xdr:twoCellAnchor editAs="oneCell">
    <xdr:from>
      <xdr:col>2</xdr:col>
      <xdr:colOff>933724</xdr:colOff>
      <xdr:row>51</xdr:row>
      <xdr:rowOff>41399</xdr:rowOff>
    </xdr:from>
    <xdr:to>
      <xdr:col>4</xdr:col>
      <xdr:colOff>118426</xdr:colOff>
      <xdr:row>58</xdr:row>
      <xdr:rowOff>103909</xdr:rowOff>
    </xdr:to>
    <xdr:pic>
      <xdr:nvPicPr>
        <xdr:cNvPr id="4" name="Bilde 3">
          <a:extLst>
            <a:ext uri="{FF2B5EF4-FFF2-40B4-BE49-F238E27FC236}">
              <a16:creationId xmlns:a16="http://schemas.microsoft.com/office/drawing/2014/main" id="{AEB4B24E-95FD-48DC-B6A1-3CE6079AC439}"/>
            </a:ext>
          </a:extLst>
        </xdr:cNvPr>
        <xdr:cNvPicPr>
          <a:picLocks noChangeAspect="1"/>
        </xdr:cNvPicPr>
      </xdr:nvPicPr>
      <xdr:blipFill>
        <a:blip xmlns:r="http://schemas.openxmlformats.org/officeDocument/2006/relationships" r:embed="rId4"/>
        <a:stretch>
          <a:fillRect/>
        </a:stretch>
      </xdr:blipFill>
      <xdr:spPr>
        <a:xfrm>
          <a:off x="2810149" y="11395199"/>
          <a:ext cx="2232702" cy="1462685"/>
        </a:xfrm>
        <a:prstGeom prst="rect">
          <a:avLst/>
        </a:prstGeom>
      </xdr:spPr>
    </xdr:pic>
    <xdr:clientData/>
  </xdr:twoCellAnchor>
  <xdr:twoCellAnchor editAs="oneCell">
    <xdr:from>
      <xdr:col>4</xdr:col>
      <xdr:colOff>409576</xdr:colOff>
      <xdr:row>51</xdr:row>
      <xdr:rowOff>17318</xdr:rowOff>
    </xdr:from>
    <xdr:to>
      <xdr:col>5</xdr:col>
      <xdr:colOff>933800</xdr:colOff>
      <xdr:row>59</xdr:row>
      <xdr:rowOff>9526</xdr:rowOff>
    </xdr:to>
    <xdr:pic>
      <xdr:nvPicPr>
        <xdr:cNvPr id="5" name="Bilde 4">
          <a:extLst>
            <a:ext uri="{FF2B5EF4-FFF2-40B4-BE49-F238E27FC236}">
              <a16:creationId xmlns:a16="http://schemas.microsoft.com/office/drawing/2014/main" id="{77FAC2B4-1C20-4E3A-ADB4-AEA222CEF4A9}"/>
            </a:ext>
          </a:extLst>
        </xdr:cNvPr>
        <xdr:cNvPicPr>
          <a:picLocks noChangeAspect="1"/>
        </xdr:cNvPicPr>
      </xdr:nvPicPr>
      <xdr:blipFill>
        <a:blip xmlns:r="http://schemas.openxmlformats.org/officeDocument/2006/relationships" r:embed="rId5"/>
        <a:stretch>
          <a:fillRect/>
        </a:stretch>
      </xdr:blipFill>
      <xdr:spPr>
        <a:xfrm>
          <a:off x="5334001" y="11371118"/>
          <a:ext cx="2191099" cy="1592408"/>
        </a:xfrm>
        <a:prstGeom prst="rect">
          <a:avLst/>
        </a:prstGeom>
      </xdr:spPr>
    </xdr:pic>
    <xdr:clientData/>
  </xdr:twoCellAnchor>
  <xdr:twoCellAnchor editAs="oneCell">
    <xdr:from>
      <xdr:col>10</xdr:col>
      <xdr:colOff>260641</xdr:colOff>
      <xdr:row>51</xdr:row>
      <xdr:rowOff>176849</xdr:rowOff>
    </xdr:from>
    <xdr:to>
      <xdr:col>11</xdr:col>
      <xdr:colOff>991467</xdr:colOff>
      <xdr:row>58</xdr:row>
      <xdr:rowOff>70709</xdr:rowOff>
    </xdr:to>
    <xdr:pic>
      <xdr:nvPicPr>
        <xdr:cNvPr id="7" name="Bilde 6">
          <a:extLst>
            <a:ext uri="{FF2B5EF4-FFF2-40B4-BE49-F238E27FC236}">
              <a16:creationId xmlns:a16="http://schemas.microsoft.com/office/drawing/2014/main" id="{56A524F0-AADE-4476-82ED-C6E67952A219}"/>
            </a:ext>
          </a:extLst>
        </xdr:cNvPr>
        <xdr:cNvPicPr>
          <a:picLocks noChangeAspect="1"/>
        </xdr:cNvPicPr>
      </xdr:nvPicPr>
      <xdr:blipFill>
        <a:blip xmlns:r="http://schemas.openxmlformats.org/officeDocument/2006/relationships" r:embed="rId6"/>
        <a:stretch>
          <a:fillRect/>
        </a:stretch>
      </xdr:blipFill>
      <xdr:spPr>
        <a:xfrm>
          <a:off x="14443366" y="11530649"/>
          <a:ext cx="1645226" cy="1294035"/>
        </a:xfrm>
        <a:prstGeom prst="rect">
          <a:avLst/>
        </a:prstGeom>
      </xdr:spPr>
    </xdr:pic>
    <xdr:clientData/>
  </xdr:twoCellAnchor>
  <xdr:twoCellAnchor>
    <xdr:from>
      <xdr:col>7</xdr:col>
      <xdr:colOff>1181100</xdr:colOff>
      <xdr:row>95</xdr:row>
      <xdr:rowOff>9525</xdr:rowOff>
    </xdr:from>
    <xdr:to>
      <xdr:col>9</xdr:col>
      <xdr:colOff>1579562</xdr:colOff>
      <xdr:row>95</xdr:row>
      <xdr:rowOff>17463</xdr:rowOff>
    </xdr:to>
    <xdr:cxnSp macro="">
      <xdr:nvCxnSpPr>
        <xdr:cNvPr id="20" name="Straight Connector 13">
          <a:extLst>
            <a:ext uri="{FF2B5EF4-FFF2-40B4-BE49-F238E27FC236}">
              <a16:creationId xmlns:a16="http://schemas.microsoft.com/office/drawing/2014/main" id="{D31467CA-C811-469C-BE9E-854BF30D75E2}"/>
            </a:ext>
          </a:extLst>
        </xdr:cNvPr>
        <xdr:cNvCxnSpPr/>
      </xdr:nvCxnSpPr>
      <xdr:spPr>
        <a:xfrm flipV="1">
          <a:off x="10934700" y="18954750"/>
          <a:ext cx="2922587" cy="7938"/>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1058528</xdr:colOff>
      <xdr:row>95</xdr:row>
      <xdr:rowOff>2159</xdr:rowOff>
    </xdr:from>
    <xdr:to>
      <xdr:col>9</xdr:col>
      <xdr:colOff>1060116</xdr:colOff>
      <xdr:row>97</xdr:row>
      <xdr:rowOff>32321</xdr:rowOff>
    </xdr:to>
    <xdr:cxnSp macro="">
      <xdr:nvCxnSpPr>
        <xdr:cNvPr id="21" name="Straight Arrow Connector 14">
          <a:extLst>
            <a:ext uri="{FF2B5EF4-FFF2-40B4-BE49-F238E27FC236}">
              <a16:creationId xmlns:a16="http://schemas.microsoft.com/office/drawing/2014/main" id="{B3FDBDA6-B974-48A0-836F-E7B9D2F82306}"/>
            </a:ext>
          </a:extLst>
        </xdr:cNvPr>
        <xdr:cNvCxnSpPr/>
      </xdr:nvCxnSpPr>
      <xdr:spPr>
        <a:xfrm rot="5400000" flipH="1" flipV="1">
          <a:off x="13128567" y="19041598"/>
          <a:ext cx="411162" cy="158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204946</xdr:colOff>
      <xdr:row>95</xdr:row>
      <xdr:rowOff>3027</xdr:rowOff>
    </xdr:from>
    <xdr:to>
      <xdr:col>8</xdr:col>
      <xdr:colOff>206534</xdr:colOff>
      <xdr:row>97</xdr:row>
      <xdr:rowOff>7031</xdr:rowOff>
    </xdr:to>
    <xdr:cxnSp macro="">
      <xdr:nvCxnSpPr>
        <xdr:cNvPr id="22" name="Straight Arrow Connector 15">
          <a:extLst>
            <a:ext uri="{FF2B5EF4-FFF2-40B4-BE49-F238E27FC236}">
              <a16:creationId xmlns:a16="http://schemas.microsoft.com/office/drawing/2014/main" id="{37B46126-2C2D-463C-825B-C478948997FC}"/>
            </a:ext>
          </a:extLst>
        </xdr:cNvPr>
        <xdr:cNvCxnSpPr/>
      </xdr:nvCxnSpPr>
      <xdr:spPr>
        <a:xfrm rot="5400000" flipH="1" flipV="1">
          <a:off x="11140679" y="19390411"/>
          <a:ext cx="385004" cy="1588"/>
        </a:xfrm>
        <a:prstGeom prst="straightConnector1">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71069</xdr:colOff>
      <xdr:row>92</xdr:row>
      <xdr:rowOff>18483</xdr:rowOff>
    </xdr:from>
    <xdr:to>
      <xdr:col>9</xdr:col>
      <xdr:colOff>71069</xdr:colOff>
      <xdr:row>94</xdr:row>
      <xdr:rowOff>185781</xdr:rowOff>
    </xdr:to>
    <xdr:cxnSp macro="">
      <xdr:nvCxnSpPr>
        <xdr:cNvPr id="23" name="Straight Arrow Connector 16">
          <a:extLst>
            <a:ext uri="{FF2B5EF4-FFF2-40B4-BE49-F238E27FC236}">
              <a16:creationId xmlns:a16="http://schemas.microsoft.com/office/drawing/2014/main" id="{6E560A2F-1687-4D2C-8083-D35FA25CAE04}"/>
            </a:ext>
          </a:extLst>
        </xdr:cNvPr>
        <xdr:cNvCxnSpPr/>
      </xdr:nvCxnSpPr>
      <xdr:spPr>
        <a:xfrm>
          <a:off x="12348794" y="18392208"/>
          <a:ext cx="0" cy="548298"/>
        </a:xfrm>
        <a:prstGeom prst="straightConnector1">
          <a:avLst/>
        </a:prstGeom>
        <a:ln w="317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99391</xdr:colOff>
      <xdr:row>8</xdr:row>
      <xdr:rowOff>99391</xdr:rowOff>
    </xdr:from>
    <xdr:to>
      <xdr:col>4</xdr:col>
      <xdr:colOff>914498</xdr:colOff>
      <xdr:row>38</xdr:row>
      <xdr:rowOff>140990</xdr:rowOff>
    </xdr:to>
    <xdr:pic>
      <xdr:nvPicPr>
        <xdr:cNvPr id="10" name="Bilde 9">
          <a:extLst>
            <a:ext uri="{FF2B5EF4-FFF2-40B4-BE49-F238E27FC236}">
              <a16:creationId xmlns:a16="http://schemas.microsoft.com/office/drawing/2014/main" id="{C7B7D1E3-3326-4A83-9518-2A6300FE4A0A}"/>
            </a:ext>
          </a:extLst>
        </xdr:cNvPr>
        <xdr:cNvPicPr>
          <a:picLocks noChangeAspect="1"/>
        </xdr:cNvPicPr>
      </xdr:nvPicPr>
      <xdr:blipFill>
        <a:blip xmlns:r="http://schemas.openxmlformats.org/officeDocument/2006/relationships" r:embed="rId7"/>
        <a:stretch>
          <a:fillRect/>
        </a:stretch>
      </xdr:blipFill>
      <xdr:spPr>
        <a:xfrm>
          <a:off x="687456" y="1913282"/>
          <a:ext cx="5151783" cy="6720305"/>
        </a:xfrm>
        <a:prstGeom prst="rect">
          <a:avLst/>
        </a:prstGeom>
      </xdr:spPr>
    </xdr:pic>
    <xdr:clientData/>
  </xdr:twoCellAnchor>
  <xdr:twoCellAnchor editAs="oneCell">
    <xdr:from>
      <xdr:col>5</xdr:col>
      <xdr:colOff>1038226</xdr:colOff>
      <xdr:row>50</xdr:row>
      <xdr:rowOff>103295</xdr:rowOff>
    </xdr:from>
    <xdr:to>
      <xdr:col>6</xdr:col>
      <xdr:colOff>885826</xdr:colOff>
      <xdr:row>58</xdr:row>
      <xdr:rowOff>191118</xdr:rowOff>
    </xdr:to>
    <xdr:pic>
      <xdr:nvPicPr>
        <xdr:cNvPr id="8" name="Bilde 7">
          <a:extLst>
            <a:ext uri="{FF2B5EF4-FFF2-40B4-BE49-F238E27FC236}">
              <a16:creationId xmlns:a16="http://schemas.microsoft.com/office/drawing/2014/main" id="{7D11A8F6-F949-4871-92A9-FCBCBFA53A1C}"/>
            </a:ext>
          </a:extLst>
        </xdr:cNvPr>
        <xdr:cNvPicPr>
          <a:picLocks noChangeAspect="1"/>
        </xdr:cNvPicPr>
      </xdr:nvPicPr>
      <xdr:blipFill>
        <a:blip xmlns:r="http://schemas.openxmlformats.org/officeDocument/2006/relationships" r:embed="rId8"/>
        <a:stretch>
          <a:fillRect/>
        </a:stretch>
      </xdr:blipFill>
      <xdr:spPr>
        <a:xfrm>
          <a:off x="7629526" y="11257070"/>
          <a:ext cx="2076450" cy="1688023"/>
        </a:xfrm>
        <a:prstGeom prst="rect">
          <a:avLst/>
        </a:prstGeom>
      </xdr:spPr>
    </xdr:pic>
    <xdr:clientData/>
  </xdr:twoCellAnchor>
  <xdr:twoCellAnchor editAs="oneCell">
    <xdr:from>
      <xdr:col>6</xdr:col>
      <xdr:colOff>923925</xdr:colOff>
      <xdr:row>50</xdr:row>
      <xdr:rowOff>85726</xdr:rowOff>
    </xdr:from>
    <xdr:to>
      <xdr:col>8</xdr:col>
      <xdr:colOff>514350</xdr:colOff>
      <xdr:row>59</xdr:row>
      <xdr:rowOff>15975</xdr:rowOff>
    </xdr:to>
    <xdr:pic>
      <xdr:nvPicPr>
        <xdr:cNvPr id="9" name="Bilde 8">
          <a:extLst>
            <a:ext uri="{FF2B5EF4-FFF2-40B4-BE49-F238E27FC236}">
              <a16:creationId xmlns:a16="http://schemas.microsoft.com/office/drawing/2014/main" id="{58CB76EB-DD01-440D-BA07-7CC98117FE5D}"/>
            </a:ext>
          </a:extLst>
        </xdr:cNvPr>
        <xdr:cNvPicPr>
          <a:picLocks noChangeAspect="1"/>
        </xdr:cNvPicPr>
      </xdr:nvPicPr>
      <xdr:blipFill>
        <a:blip xmlns:r="http://schemas.openxmlformats.org/officeDocument/2006/relationships" r:embed="rId9"/>
        <a:stretch>
          <a:fillRect/>
        </a:stretch>
      </xdr:blipFill>
      <xdr:spPr>
        <a:xfrm>
          <a:off x="9744075" y="11239501"/>
          <a:ext cx="2038350" cy="17304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66675</xdr:rowOff>
    </xdr:from>
    <xdr:to>
      <xdr:col>3</xdr:col>
      <xdr:colOff>156307</xdr:colOff>
      <xdr:row>6</xdr:row>
      <xdr:rowOff>65550</xdr:rowOff>
    </xdr:to>
    <xdr:pic>
      <xdr:nvPicPr>
        <xdr:cNvPr id="20" name="Bilde 13">
          <a:extLst>
            <a:ext uri="{FF2B5EF4-FFF2-40B4-BE49-F238E27FC236}">
              <a16:creationId xmlns:a16="http://schemas.microsoft.com/office/drawing/2014/main" id="{A325F38C-473E-4749-B414-1BE41D22B7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7765" t="5618" r="70923" b="87868"/>
        <a:stretch>
          <a:fillRect/>
        </a:stretch>
      </xdr:blipFill>
      <xdr:spPr bwMode="auto">
        <a:xfrm>
          <a:off x="152400" y="66675"/>
          <a:ext cx="2232757" cy="97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9525</xdr:colOff>
      <xdr:row>9</xdr:row>
      <xdr:rowOff>95250</xdr:rowOff>
    </xdr:from>
    <xdr:to>
      <xdr:col>4</xdr:col>
      <xdr:colOff>3689377</xdr:colOff>
      <xdr:row>9</xdr:row>
      <xdr:rowOff>1066799</xdr:rowOff>
    </xdr:to>
    <xdr:pic>
      <xdr:nvPicPr>
        <xdr:cNvPr id="39" name="Bilde 38">
          <a:extLst>
            <a:ext uri="{FF2B5EF4-FFF2-40B4-BE49-F238E27FC236}">
              <a16:creationId xmlns:a16="http://schemas.microsoft.com/office/drawing/2014/main" id="{D73FE76F-908E-4068-8D78-14AE85EF03E0}"/>
            </a:ext>
          </a:extLst>
        </xdr:cNvPr>
        <xdr:cNvPicPr>
          <a:picLocks noChangeAspect="1"/>
        </xdr:cNvPicPr>
      </xdr:nvPicPr>
      <xdr:blipFill>
        <a:blip xmlns:r="http://schemas.openxmlformats.org/officeDocument/2006/relationships" r:embed="rId2"/>
        <a:stretch>
          <a:fillRect/>
        </a:stretch>
      </xdr:blipFill>
      <xdr:spPr>
        <a:xfrm>
          <a:off x="3981450" y="1581150"/>
          <a:ext cx="3679852" cy="971549"/>
        </a:xfrm>
        <a:prstGeom prst="rect">
          <a:avLst/>
        </a:prstGeom>
      </xdr:spPr>
    </xdr:pic>
    <xdr:clientData/>
  </xdr:twoCellAnchor>
  <xdr:twoCellAnchor editAs="oneCell">
    <xdr:from>
      <xdr:col>5</xdr:col>
      <xdr:colOff>95251</xdr:colOff>
      <xdr:row>9</xdr:row>
      <xdr:rowOff>95250</xdr:rowOff>
    </xdr:from>
    <xdr:to>
      <xdr:col>5</xdr:col>
      <xdr:colOff>3088819</xdr:colOff>
      <xdr:row>9</xdr:row>
      <xdr:rowOff>1047749</xdr:rowOff>
    </xdr:to>
    <xdr:pic>
      <xdr:nvPicPr>
        <xdr:cNvPr id="40" name="Bilde 39">
          <a:extLst>
            <a:ext uri="{FF2B5EF4-FFF2-40B4-BE49-F238E27FC236}">
              <a16:creationId xmlns:a16="http://schemas.microsoft.com/office/drawing/2014/main" id="{7952D83A-00F6-4531-BFD9-5CA702465989}"/>
            </a:ext>
          </a:extLst>
        </xdr:cNvPr>
        <xdr:cNvPicPr>
          <a:picLocks noChangeAspect="1"/>
        </xdr:cNvPicPr>
      </xdr:nvPicPr>
      <xdr:blipFill>
        <a:blip xmlns:r="http://schemas.openxmlformats.org/officeDocument/2006/relationships" r:embed="rId3"/>
        <a:stretch>
          <a:fillRect/>
        </a:stretch>
      </xdr:blipFill>
      <xdr:spPr>
        <a:xfrm>
          <a:off x="7781926" y="1581150"/>
          <a:ext cx="2993568" cy="952499"/>
        </a:xfrm>
        <a:prstGeom prst="rect">
          <a:avLst/>
        </a:prstGeom>
      </xdr:spPr>
    </xdr:pic>
    <xdr:clientData/>
  </xdr:twoCellAnchor>
  <xdr:twoCellAnchor editAs="oneCell">
    <xdr:from>
      <xdr:col>4</xdr:col>
      <xdr:colOff>9525</xdr:colOff>
      <xdr:row>10</xdr:row>
      <xdr:rowOff>85725</xdr:rowOff>
    </xdr:from>
    <xdr:to>
      <xdr:col>4</xdr:col>
      <xdr:colOff>3689377</xdr:colOff>
      <xdr:row>10</xdr:row>
      <xdr:rowOff>1057274</xdr:rowOff>
    </xdr:to>
    <xdr:pic>
      <xdr:nvPicPr>
        <xdr:cNvPr id="41" name="Bilde 40">
          <a:extLst>
            <a:ext uri="{FF2B5EF4-FFF2-40B4-BE49-F238E27FC236}">
              <a16:creationId xmlns:a16="http://schemas.microsoft.com/office/drawing/2014/main" id="{4A3F8534-26FC-467E-AEE1-17A1E9437D13}"/>
            </a:ext>
          </a:extLst>
        </xdr:cNvPr>
        <xdr:cNvPicPr>
          <a:picLocks noChangeAspect="1"/>
        </xdr:cNvPicPr>
      </xdr:nvPicPr>
      <xdr:blipFill>
        <a:blip xmlns:r="http://schemas.openxmlformats.org/officeDocument/2006/relationships" r:embed="rId2"/>
        <a:stretch>
          <a:fillRect/>
        </a:stretch>
      </xdr:blipFill>
      <xdr:spPr>
        <a:xfrm>
          <a:off x="3981450" y="2647950"/>
          <a:ext cx="3679852" cy="971549"/>
        </a:xfrm>
        <a:prstGeom prst="rect">
          <a:avLst/>
        </a:prstGeom>
      </xdr:spPr>
    </xdr:pic>
    <xdr:clientData/>
  </xdr:twoCellAnchor>
  <xdr:twoCellAnchor editAs="oneCell">
    <xdr:from>
      <xdr:col>5</xdr:col>
      <xdr:colOff>95251</xdr:colOff>
      <xdr:row>10</xdr:row>
      <xdr:rowOff>85725</xdr:rowOff>
    </xdr:from>
    <xdr:to>
      <xdr:col>5</xdr:col>
      <xdr:colOff>3088819</xdr:colOff>
      <xdr:row>10</xdr:row>
      <xdr:rowOff>1038224</xdr:rowOff>
    </xdr:to>
    <xdr:pic>
      <xdr:nvPicPr>
        <xdr:cNvPr id="42" name="Bilde 41">
          <a:extLst>
            <a:ext uri="{FF2B5EF4-FFF2-40B4-BE49-F238E27FC236}">
              <a16:creationId xmlns:a16="http://schemas.microsoft.com/office/drawing/2014/main" id="{E58E1AA3-B9CE-48DF-A806-7FD9C1E305AA}"/>
            </a:ext>
          </a:extLst>
        </xdr:cNvPr>
        <xdr:cNvPicPr>
          <a:picLocks noChangeAspect="1"/>
        </xdr:cNvPicPr>
      </xdr:nvPicPr>
      <xdr:blipFill>
        <a:blip xmlns:r="http://schemas.openxmlformats.org/officeDocument/2006/relationships" r:embed="rId3"/>
        <a:stretch>
          <a:fillRect/>
        </a:stretch>
      </xdr:blipFill>
      <xdr:spPr>
        <a:xfrm>
          <a:off x="7781926" y="2647950"/>
          <a:ext cx="2993568" cy="952499"/>
        </a:xfrm>
        <a:prstGeom prst="rect">
          <a:avLst/>
        </a:prstGeom>
      </xdr:spPr>
    </xdr:pic>
    <xdr:clientData/>
  </xdr:twoCellAnchor>
  <xdr:twoCellAnchor editAs="oneCell">
    <xdr:from>
      <xdr:col>4</xdr:col>
      <xdr:colOff>38100</xdr:colOff>
      <xdr:row>11</xdr:row>
      <xdr:rowOff>9525</xdr:rowOff>
    </xdr:from>
    <xdr:to>
      <xdr:col>5</xdr:col>
      <xdr:colOff>3202</xdr:colOff>
      <xdr:row>11</xdr:row>
      <xdr:rowOff>981074</xdr:rowOff>
    </xdr:to>
    <xdr:pic>
      <xdr:nvPicPr>
        <xdr:cNvPr id="43" name="Bilde 42">
          <a:extLst>
            <a:ext uri="{FF2B5EF4-FFF2-40B4-BE49-F238E27FC236}">
              <a16:creationId xmlns:a16="http://schemas.microsoft.com/office/drawing/2014/main" id="{A31670DB-B0DB-41E6-8393-6FBCDBB833D2}"/>
            </a:ext>
          </a:extLst>
        </xdr:cNvPr>
        <xdr:cNvPicPr>
          <a:picLocks noChangeAspect="1"/>
        </xdr:cNvPicPr>
      </xdr:nvPicPr>
      <xdr:blipFill>
        <a:blip xmlns:r="http://schemas.openxmlformats.org/officeDocument/2006/relationships" r:embed="rId2"/>
        <a:stretch>
          <a:fillRect/>
        </a:stretch>
      </xdr:blipFill>
      <xdr:spPr>
        <a:xfrm>
          <a:off x="4010025" y="3648075"/>
          <a:ext cx="3679852" cy="971549"/>
        </a:xfrm>
        <a:prstGeom prst="rect">
          <a:avLst/>
        </a:prstGeom>
      </xdr:spPr>
    </xdr:pic>
    <xdr:clientData/>
  </xdr:twoCellAnchor>
  <xdr:twoCellAnchor editAs="oneCell">
    <xdr:from>
      <xdr:col>5</xdr:col>
      <xdr:colOff>123826</xdr:colOff>
      <xdr:row>11</xdr:row>
      <xdr:rowOff>9525</xdr:rowOff>
    </xdr:from>
    <xdr:to>
      <xdr:col>5</xdr:col>
      <xdr:colOff>3117394</xdr:colOff>
      <xdr:row>11</xdr:row>
      <xdr:rowOff>962024</xdr:rowOff>
    </xdr:to>
    <xdr:pic>
      <xdr:nvPicPr>
        <xdr:cNvPr id="44" name="Bilde 43">
          <a:extLst>
            <a:ext uri="{FF2B5EF4-FFF2-40B4-BE49-F238E27FC236}">
              <a16:creationId xmlns:a16="http://schemas.microsoft.com/office/drawing/2014/main" id="{7691B49F-DA4D-415B-9747-63427F0F220A}"/>
            </a:ext>
          </a:extLst>
        </xdr:cNvPr>
        <xdr:cNvPicPr>
          <a:picLocks noChangeAspect="1"/>
        </xdr:cNvPicPr>
      </xdr:nvPicPr>
      <xdr:blipFill>
        <a:blip xmlns:r="http://schemas.openxmlformats.org/officeDocument/2006/relationships" r:embed="rId3"/>
        <a:stretch>
          <a:fillRect/>
        </a:stretch>
      </xdr:blipFill>
      <xdr:spPr>
        <a:xfrm>
          <a:off x="7810501" y="3648075"/>
          <a:ext cx="2993568" cy="952499"/>
        </a:xfrm>
        <a:prstGeom prst="rect">
          <a:avLst/>
        </a:prstGeom>
      </xdr:spPr>
    </xdr:pic>
    <xdr:clientData/>
  </xdr:twoCellAnchor>
  <xdr:twoCellAnchor editAs="oneCell">
    <xdr:from>
      <xdr:col>4</xdr:col>
      <xdr:colOff>9525</xdr:colOff>
      <xdr:row>12</xdr:row>
      <xdr:rowOff>66675</xdr:rowOff>
    </xdr:from>
    <xdr:to>
      <xdr:col>4</xdr:col>
      <xdr:colOff>3689377</xdr:colOff>
      <xdr:row>12</xdr:row>
      <xdr:rowOff>1038224</xdr:rowOff>
    </xdr:to>
    <xdr:pic>
      <xdr:nvPicPr>
        <xdr:cNvPr id="45" name="Bilde 44">
          <a:extLst>
            <a:ext uri="{FF2B5EF4-FFF2-40B4-BE49-F238E27FC236}">
              <a16:creationId xmlns:a16="http://schemas.microsoft.com/office/drawing/2014/main" id="{DA1DFB8C-B8EE-4B99-A4E8-F27BB34787A0}"/>
            </a:ext>
          </a:extLst>
        </xdr:cNvPr>
        <xdr:cNvPicPr>
          <a:picLocks noChangeAspect="1"/>
        </xdr:cNvPicPr>
      </xdr:nvPicPr>
      <xdr:blipFill>
        <a:blip xmlns:r="http://schemas.openxmlformats.org/officeDocument/2006/relationships" r:embed="rId2"/>
        <a:stretch>
          <a:fillRect/>
        </a:stretch>
      </xdr:blipFill>
      <xdr:spPr>
        <a:xfrm>
          <a:off x="3981450" y="4781550"/>
          <a:ext cx="3679852" cy="971549"/>
        </a:xfrm>
        <a:prstGeom prst="rect">
          <a:avLst/>
        </a:prstGeom>
      </xdr:spPr>
    </xdr:pic>
    <xdr:clientData/>
  </xdr:twoCellAnchor>
  <xdr:twoCellAnchor editAs="oneCell">
    <xdr:from>
      <xdr:col>5</xdr:col>
      <xdr:colOff>95251</xdr:colOff>
      <xdr:row>12</xdr:row>
      <xdr:rowOff>66675</xdr:rowOff>
    </xdr:from>
    <xdr:to>
      <xdr:col>5</xdr:col>
      <xdr:colOff>3088819</xdr:colOff>
      <xdr:row>12</xdr:row>
      <xdr:rowOff>1019174</xdr:rowOff>
    </xdr:to>
    <xdr:pic>
      <xdr:nvPicPr>
        <xdr:cNvPr id="46" name="Bilde 45">
          <a:extLst>
            <a:ext uri="{FF2B5EF4-FFF2-40B4-BE49-F238E27FC236}">
              <a16:creationId xmlns:a16="http://schemas.microsoft.com/office/drawing/2014/main" id="{D399D7D8-4D7B-43E7-9536-A1931C331ED6}"/>
            </a:ext>
          </a:extLst>
        </xdr:cNvPr>
        <xdr:cNvPicPr>
          <a:picLocks noChangeAspect="1"/>
        </xdr:cNvPicPr>
      </xdr:nvPicPr>
      <xdr:blipFill>
        <a:blip xmlns:r="http://schemas.openxmlformats.org/officeDocument/2006/relationships" r:embed="rId3"/>
        <a:stretch>
          <a:fillRect/>
        </a:stretch>
      </xdr:blipFill>
      <xdr:spPr>
        <a:xfrm>
          <a:off x="7781926" y="4781550"/>
          <a:ext cx="2993568" cy="952499"/>
        </a:xfrm>
        <a:prstGeom prst="rect">
          <a:avLst/>
        </a:prstGeom>
      </xdr:spPr>
    </xdr:pic>
    <xdr:clientData/>
  </xdr:twoCellAnchor>
  <xdr:twoCellAnchor editAs="oneCell">
    <xdr:from>
      <xdr:col>4</xdr:col>
      <xdr:colOff>19050</xdr:colOff>
      <xdr:row>13</xdr:row>
      <xdr:rowOff>47625</xdr:rowOff>
    </xdr:from>
    <xdr:to>
      <xdr:col>4</xdr:col>
      <xdr:colOff>3698902</xdr:colOff>
      <xdr:row>13</xdr:row>
      <xdr:rowOff>1019174</xdr:rowOff>
    </xdr:to>
    <xdr:pic>
      <xdr:nvPicPr>
        <xdr:cNvPr id="47" name="Bilde 46">
          <a:extLst>
            <a:ext uri="{FF2B5EF4-FFF2-40B4-BE49-F238E27FC236}">
              <a16:creationId xmlns:a16="http://schemas.microsoft.com/office/drawing/2014/main" id="{D790642B-CEEA-4815-AEEF-2533387F9B0C}"/>
            </a:ext>
          </a:extLst>
        </xdr:cNvPr>
        <xdr:cNvPicPr>
          <a:picLocks noChangeAspect="1"/>
        </xdr:cNvPicPr>
      </xdr:nvPicPr>
      <xdr:blipFill>
        <a:blip xmlns:r="http://schemas.openxmlformats.org/officeDocument/2006/relationships" r:embed="rId2"/>
        <a:stretch>
          <a:fillRect/>
        </a:stretch>
      </xdr:blipFill>
      <xdr:spPr>
        <a:xfrm>
          <a:off x="3990975" y="5838825"/>
          <a:ext cx="3679852" cy="971549"/>
        </a:xfrm>
        <a:prstGeom prst="rect">
          <a:avLst/>
        </a:prstGeom>
      </xdr:spPr>
    </xdr:pic>
    <xdr:clientData/>
  </xdr:twoCellAnchor>
  <xdr:twoCellAnchor editAs="oneCell">
    <xdr:from>
      <xdr:col>5</xdr:col>
      <xdr:colOff>104776</xdr:colOff>
      <xdr:row>13</xdr:row>
      <xdr:rowOff>47625</xdr:rowOff>
    </xdr:from>
    <xdr:to>
      <xdr:col>5</xdr:col>
      <xdr:colOff>3098344</xdr:colOff>
      <xdr:row>13</xdr:row>
      <xdr:rowOff>1000124</xdr:rowOff>
    </xdr:to>
    <xdr:pic>
      <xdr:nvPicPr>
        <xdr:cNvPr id="48" name="Bilde 47">
          <a:extLst>
            <a:ext uri="{FF2B5EF4-FFF2-40B4-BE49-F238E27FC236}">
              <a16:creationId xmlns:a16="http://schemas.microsoft.com/office/drawing/2014/main" id="{C749631F-F040-4D14-BCD6-2C5596A6B8C1}"/>
            </a:ext>
          </a:extLst>
        </xdr:cNvPr>
        <xdr:cNvPicPr>
          <a:picLocks noChangeAspect="1"/>
        </xdr:cNvPicPr>
      </xdr:nvPicPr>
      <xdr:blipFill>
        <a:blip xmlns:r="http://schemas.openxmlformats.org/officeDocument/2006/relationships" r:embed="rId3"/>
        <a:stretch>
          <a:fillRect/>
        </a:stretch>
      </xdr:blipFill>
      <xdr:spPr>
        <a:xfrm>
          <a:off x="7791451" y="5838825"/>
          <a:ext cx="2993568" cy="952499"/>
        </a:xfrm>
        <a:prstGeom prst="rect">
          <a:avLst/>
        </a:prstGeom>
      </xdr:spPr>
    </xdr:pic>
    <xdr:clientData/>
  </xdr:twoCellAnchor>
  <xdr:twoCellAnchor editAs="oneCell">
    <xdr:from>
      <xdr:col>4</xdr:col>
      <xdr:colOff>19050</xdr:colOff>
      <xdr:row>14</xdr:row>
      <xdr:rowOff>57150</xdr:rowOff>
    </xdr:from>
    <xdr:to>
      <xdr:col>4</xdr:col>
      <xdr:colOff>3698902</xdr:colOff>
      <xdr:row>14</xdr:row>
      <xdr:rowOff>1028699</xdr:rowOff>
    </xdr:to>
    <xdr:pic>
      <xdr:nvPicPr>
        <xdr:cNvPr id="49" name="Bilde 48">
          <a:extLst>
            <a:ext uri="{FF2B5EF4-FFF2-40B4-BE49-F238E27FC236}">
              <a16:creationId xmlns:a16="http://schemas.microsoft.com/office/drawing/2014/main" id="{69A2A9F9-C30C-4E1D-B1FE-C7C91F89D898}"/>
            </a:ext>
          </a:extLst>
        </xdr:cNvPr>
        <xdr:cNvPicPr>
          <a:picLocks noChangeAspect="1"/>
        </xdr:cNvPicPr>
      </xdr:nvPicPr>
      <xdr:blipFill>
        <a:blip xmlns:r="http://schemas.openxmlformats.org/officeDocument/2006/relationships" r:embed="rId2"/>
        <a:stretch>
          <a:fillRect/>
        </a:stretch>
      </xdr:blipFill>
      <xdr:spPr>
        <a:xfrm>
          <a:off x="3990975" y="6924675"/>
          <a:ext cx="3679852" cy="971549"/>
        </a:xfrm>
        <a:prstGeom prst="rect">
          <a:avLst/>
        </a:prstGeom>
      </xdr:spPr>
    </xdr:pic>
    <xdr:clientData/>
  </xdr:twoCellAnchor>
  <xdr:twoCellAnchor editAs="oneCell">
    <xdr:from>
      <xdr:col>5</xdr:col>
      <xdr:colOff>104776</xdr:colOff>
      <xdr:row>14</xdr:row>
      <xdr:rowOff>57150</xdr:rowOff>
    </xdr:from>
    <xdr:to>
      <xdr:col>5</xdr:col>
      <xdr:colOff>3098344</xdr:colOff>
      <xdr:row>14</xdr:row>
      <xdr:rowOff>1009649</xdr:rowOff>
    </xdr:to>
    <xdr:pic>
      <xdr:nvPicPr>
        <xdr:cNvPr id="50" name="Bilde 49">
          <a:extLst>
            <a:ext uri="{FF2B5EF4-FFF2-40B4-BE49-F238E27FC236}">
              <a16:creationId xmlns:a16="http://schemas.microsoft.com/office/drawing/2014/main" id="{12DD8BA4-E95A-4D1C-9371-2F483B96CB29}"/>
            </a:ext>
          </a:extLst>
        </xdr:cNvPr>
        <xdr:cNvPicPr>
          <a:picLocks noChangeAspect="1"/>
        </xdr:cNvPicPr>
      </xdr:nvPicPr>
      <xdr:blipFill>
        <a:blip xmlns:r="http://schemas.openxmlformats.org/officeDocument/2006/relationships" r:embed="rId3"/>
        <a:stretch>
          <a:fillRect/>
        </a:stretch>
      </xdr:blipFill>
      <xdr:spPr>
        <a:xfrm>
          <a:off x="7791451" y="6924675"/>
          <a:ext cx="2993568" cy="952499"/>
        </a:xfrm>
        <a:prstGeom prst="rect">
          <a:avLst/>
        </a:prstGeom>
      </xdr:spPr>
    </xdr:pic>
    <xdr:clientData/>
  </xdr:twoCellAnchor>
  <xdr:twoCellAnchor editAs="oneCell">
    <xdr:from>
      <xdr:col>6</xdr:col>
      <xdr:colOff>238125</xdr:colOff>
      <xdr:row>12</xdr:row>
      <xdr:rowOff>276225</xdr:rowOff>
    </xdr:from>
    <xdr:to>
      <xdr:col>6</xdr:col>
      <xdr:colOff>3233325</xdr:colOff>
      <xdr:row>12</xdr:row>
      <xdr:rowOff>836970</xdr:rowOff>
    </xdr:to>
    <xdr:pic>
      <xdr:nvPicPr>
        <xdr:cNvPr id="2" name="Picture 1">
          <a:extLst>
            <a:ext uri="{FF2B5EF4-FFF2-40B4-BE49-F238E27FC236}">
              <a16:creationId xmlns:a16="http://schemas.microsoft.com/office/drawing/2014/main" id="{3A9C96CC-E222-483C-9460-AE2EC6D8C75B}"/>
            </a:ext>
          </a:extLst>
        </xdr:cNvPr>
        <xdr:cNvPicPr>
          <a:picLocks noChangeAspect="1"/>
        </xdr:cNvPicPr>
      </xdr:nvPicPr>
      <xdr:blipFill>
        <a:blip xmlns:r="http://schemas.openxmlformats.org/officeDocument/2006/relationships" r:embed="rId4"/>
        <a:stretch>
          <a:fillRect/>
        </a:stretch>
      </xdr:blipFill>
      <xdr:spPr>
        <a:xfrm>
          <a:off x="11639550" y="4991100"/>
          <a:ext cx="2995200" cy="560745"/>
        </a:xfrm>
        <a:prstGeom prst="rect">
          <a:avLst/>
        </a:prstGeom>
      </xdr:spPr>
    </xdr:pic>
    <xdr:clientData/>
  </xdr:twoCellAnchor>
  <xdr:twoCellAnchor editAs="oneCell">
    <xdr:from>
      <xdr:col>6</xdr:col>
      <xdr:colOff>266700</xdr:colOff>
      <xdr:row>14</xdr:row>
      <xdr:rowOff>285750</xdr:rowOff>
    </xdr:from>
    <xdr:to>
      <xdr:col>6</xdr:col>
      <xdr:colOff>3261900</xdr:colOff>
      <xdr:row>14</xdr:row>
      <xdr:rowOff>846495</xdr:rowOff>
    </xdr:to>
    <xdr:pic>
      <xdr:nvPicPr>
        <xdr:cNvPr id="16" name="Picture 15">
          <a:extLst>
            <a:ext uri="{FF2B5EF4-FFF2-40B4-BE49-F238E27FC236}">
              <a16:creationId xmlns:a16="http://schemas.microsoft.com/office/drawing/2014/main" id="{6BCF0ACD-7572-4D97-85BD-35837A9A2E47}"/>
            </a:ext>
          </a:extLst>
        </xdr:cNvPr>
        <xdr:cNvPicPr>
          <a:picLocks noChangeAspect="1"/>
        </xdr:cNvPicPr>
      </xdr:nvPicPr>
      <xdr:blipFill>
        <a:blip xmlns:r="http://schemas.openxmlformats.org/officeDocument/2006/relationships" r:embed="rId4"/>
        <a:stretch>
          <a:fillRect/>
        </a:stretch>
      </xdr:blipFill>
      <xdr:spPr>
        <a:xfrm>
          <a:off x="11668125" y="7153275"/>
          <a:ext cx="2995200" cy="560745"/>
        </a:xfrm>
        <a:prstGeom prst="rect">
          <a:avLst/>
        </a:prstGeom>
      </xdr:spPr>
    </xdr:pic>
    <xdr:clientData/>
  </xdr:twoCellAnchor>
  <xdr:oneCellAnchor>
    <xdr:from>
      <xdr:col>4</xdr:col>
      <xdr:colOff>19050</xdr:colOff>
      <xdr:row>15</xdr:row>
      <xdr:rowOff>57150</xdr:rowOff>
    </xdr:from>
    <xdr:ext cx="3679852" cy="971549"/>
    <xdr:pic>
      <xdr:nvPicPr>
        <xdr:cNvPr id="3" name="Bilde 2">
          <a:extLst>
            <a:ext uri="{FF2B5EF4-FFF2-40B4-BE49-F238E27FC236}">
              <a16:creationId xmlns:a16="http://schemas.microsoft.com/office/drawing/2014/main" id="{E7895142-1F80-402B-9559-EAA6C3715DB8}"/>
            </a:ext>
          </a:extLst>
        </xdr:cNvPr>
        <xdr:cNvPicPr>
          <a:picLocks noChangeAspect="1"/>
        </xdr:cNvPicPr>
      </xdr:nvPicPr>
      <xdr:blipFill>
        <a:blip xmlns:r="http://schemas.openxmlformats.org/officeDocument/2006/relationships" r:embed="rId2"/>
        <a:stretch>
          <a:fillRect/>
        </a:stretch>
      </xdr:blipFill>
      <xdr:spPr>
        <a:xfrm>
          <a:off x="3990975" y="6924675"/>
          <a:ext cx="3679852" cy="971549"/>
        </a:xfrm>
        <a:prstGeom prst="rect">
          <a:avLst/>
        </a:prstGeom>
      </xdr:spPr>
    </xdr:pic>
    <xdr:clientData/>
  </xdr:oneCellAnchor>
  <xdr:oneCellAnchor>
    <xdr:from>
      <xdr:col>5</xdr:col>
      <xdr:colOff>104776</xdr:colOff>
      <xdr:row>15</xdr:row>
      <xdr:rowOff>57150</xdr:rowOff>
    </xdr:from>
    <xdr:ext cx="2993568" cy="952499"/>
    <xdr:pic>
      <xdr:nvPicPr>
        <xdr:cNvPr id="4" name="Bilde 3">
          <a:extLst>
            <a:ext uri="{FF2B5EF4-FFF2-40B4-BE49-F238E27FC236}">
              <a16:creationId xmlns:a16="http://schemas.microsoft.com/office/drawing/2014/main" id="{1BEF9C76-292D-4586-ADF9-A4D4C220EB5E}"/>
            </a:ext>
          </a:extLst>
        </xdr:cNvPr>
        <xdr:cNvPicPr>
          <a:picLocks noChangeAspect="1"/>
        </xdr:cNvPicPr>
      </xdr:nvPicPr>
      <xdr:blipFill>
        <a:blip xmlns:r="http://schemas.openxmlformats.org/officeDocument/2006/relationships" r:embed="rId3"/>
        <a:stretch>
          <a:fillRect/>
        </a:stretch>
      </xdr:blipFill>
      <xdr:spPr>
        <a:xfrm>
          <a:off x="7791451" y="6924675"/>
          <a:ext cx="2993568" cy="952499"/>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B136"/>
  <sheetViews>
    <sheetView showGridLines="0" tabSelected="1" zoomScale="85" zoomScaleNormal="85" zoomScaleSheetLayoutView="70" zoomScalePageLayoutView="40" workbookViewId="0">
      <pane xSplit="52830" topLeftCell="G1"/>
      <selection activeCell="C2" sqref="C2:J2"/>
      <selection pane="topRight" activeCell="G14" sqref="G14"/>
    </sheetView>
  </sheetViews>
  <sheetFormatPr baseColWidth="10" defaultColWidth="11.42578125" defaultRowHeight="12.75" x14ac:dyDescent="0.2"/>
  <cols>
    <col min="1" max="1" width="8.85546875" customWidth="1"/>
    <col min="2" max="2" width="19.28515625" customWidth="1"/>
    <col min="3" max="3" width="24.5703125" customWidth="1"/>
    <col min="4" max="4" width="21.140625" customWidth="1"/>
    <col min="5" max="5" width="25" customWidth="1"/>
    <col min="6" max="6" width="33.42578125" customWidth="1"/>
    <col min="7" max="7" width="16.85546875" customWidth="1"/>
    <col min="8" max="8" width="19.85546875" customWidth="1"/>
    <col min="9" max="9" width="18" customWidth="1"/>
    <col min="10" max="10" width="25.7109375" customWidth="1"/>
    <col min="11" max="11" width="13.7109375" bestFit="1" customWidth="1"/>
    <col min="12" max="12" width="17.85546875" customWidth="1"/>
    <col min="13" max="13" width="6.7109375" customWidth="1"/>
    <col min="14" max="22" width="12.5703125" customWidth="1"/>
    <col min="23" max="23" width="8.5703125" customWidth="1"/>
    <col min="24" max="24" width="20" bestFit="1" customWidth="1"/>
    <col min="25" max="25" width="12.28515625" bestFit="1" customWidth="1"/>
    <col min="26" max="26" width="12.140625" customWidth="1"/>
    <col min="27" max="27" width="9.28515625" bestFit="1" customWidth="1"/>
  </cols>
  <sheetData>
    <row r="1" spans="2:28" ht="15.75" thickBot="1" x14ac:dyDescent="0.25">
      <c r="B1" s="5"/>
      <c r="C1" s="5"/>
      <c r="D1" s="5"/>
      <c r="E1" s="5"/>
      <c r="F1" s="5"/>
      <c r="G1" s="5"/>
      <c r="H1" s="5"/>
      <c r="I1" s="5"/>
      <c r="J1" s="5"/>
      <c r="K1" s="5"/>
      <c r="L1" s="5"/>
      <c r="M1" s="5"/>
    </row>
    <row r="2" spans="2:28" ht="20.100000000000001" customHeight="1" x14ac:dyDescent="0.2">
      <c r="B2" s="33" t="s">
        <v>0</v>
      </c>
      <c r="C2" s="166" t="s">
        <v>118</v>
      </c>
      <c r="D2" s="167"/>
      <c r="E2" s="168"/>
      <c r="F2" s="168"/>
      <c r="G2" s="168"/>
      <c r="H2" s="168"/>
      <c r="I2" s="168"/>
      <c r="J2" s="169"/>
      <c r="K2" s="34"/>
      <c r="L2" s="35"/>
      <c r="M2" s="36"/>
      <c r="Z2" s="37"/>
    </row>
    <row r="3" spans="2:28" ht="20.100000000000001" customHeight="1" x14ac:dyDescent="0.2">
      <c r="B3" s="38" t="s">
        <v>1</v>
      </c>
      <c r="C3" s="170" t="s">
        <v>118</v>
      </c>
      <c r="D3" s="171"/>
      <c r="E3" s="172"/>
      <c r="F3" s="172"/>
      <c r="G3" s="172"/>
      <c r="H3" s="172"/>
      <c r="I3" s="172"/>
      <c r="J3" s="173"/>
      <c r="K3" s="39"/>
      <c r="L3" s="40"/>
      <c r="M3" s="41"/>
      <c r="X3" s="55"/>
      <c r="Z3" s="37"/>
    </row>
    <row r="4" spans="2:28" ht="20.100000000000001" customHeight="1" x14ac:dyDescent="0.2">
      <c r="B4" s="38" t="s">
        <v>16</v>
      </c>
      <c r="C4" s="170" t="s">
        <v>118</v>
      </c>
      <c r="D4" s="171"/>
      <c r="E4" s="172"/>
      <c r="F4" s="172"/>
      <c r="G4" s="172"/>
      <c r="H4" s="172"/>
      <c r="I4" s="172"/>
      <c r="J4" s="173"/>
      <c r="K4" s="42"/>
      <c r="L4" s="43"/>
      <c r="M4" s="44"/>
    </row>
    <row r="5" spans="2:28" ht="20.100000000000001" customHeight="1" x14ac:dyDescent="0.2">
      <c r="B5" s="38" t="s">
        <v>26</v>
      </c>
      <c r="C5" s="170" t="s">
        <v>118</v>
      </c>
      <c r="D5" s="188"/>
      <c r="E5" s="45" t="s">
        <v>2</v>
      </c>
      <c r="F5" s="179" t="s">
        <v>118</v>
      </c>
      <c r="G5" s="172"/>
      <c r="H5" s="172"/>
      <c r="I5" s="172"/>
      <c r="J5" s="173"/>
      <c r="K5" s="46"/>
      <c r="L5" s="47"/>
      <c r="M5" s="48"/>
      <c r="Y5" s="37"/>
    </row>
    <row r="6" spans="2:28" ht="18" customHeight="1" x14ac:dyDescent="0.2">
      <c r="B6" s="174" t="s">
        <v>141</v>
      </c>
      <c r="C6" s="175"/>
      <c r="D6" s="175"/>
      <c r="E6" s="175"/>
      <c r="F6" s="175"/>
      <c r="G6" s="175"/>
      <c r="H6" s="175"/>
      <c r="I6" s="175"/>
      <c r="J6" s="175"/>
      <c r="K6" s="175"/>
      <c r="L6" s="175"/>
      <c r="M6" s="176"/>
      <c r="Z6" s="37"/>
      <c r="AB6" s="37"/>
    </row>
    <row r="7" spans="2:28" ht="15.75" x14ac:dyDescent="0.25">
      <c r="B7" s="77" t="s">
        <v>23</v>
      </c>
      <c r="C7" s="78"/>
      <c r="D7" s="78"/>
      <c r="E7" s="78"/>
      <c r="F7" s="78"/>
      <c r="G7" s="78"/>
      <c r="H7" s="78"/>
      <c r="I7" s="78"/>
      <c r="J7" s="78"/>
      <c r="K7" s="78"/>
      <c r="L7" s="177" t="s">
        <v>75</v>
      </c>
      <c r="M7" s="178"/>
      <c r="P7" s="5" t="s">
        <v>29</v>
      </c>
      <c r="Y7" s="37"/>
      <c r="Z7" s="37"/>
      <c r="AA7" s="49"/>
      <c r="AB7" s="37"/>
    </row>
    <row r="8" spans="2:28" ht="15" x14ac:dyDescent="0.2">
      <c r="B8" s="15"/>
      <c r="E8" s="22"/>
      <c r="M8" s="4"/>
      <c r="P8" s="5" t="s">
        <v>27</v>
      </c>
      <c r="Z8" s="37"/>
    </row>
    <row r="9" spans="2:28" ht="15" x14ac:dyDescent="0.2">
      <c r="B9" s="15"/>
      <c r="E9" s="22"/>
      <c r="M9" s="30"/>
      <c r="P9" s="5" t="s">
        <v>28</v>
      </c>
      <c r="Z9" s="37"/>
    </row>
    <row r="10" spans="2:28" ht="15.75" x14ac:dyDescent="0.25">
      <c r="B10" s="3"/>
      <c r="C10" s="32"/>
      <c r="D10" s="32"/>
      <c r="E10" s="22"/>
      <c r="F10" s="61" t="s">
        <v>57</v>
      </c>
      <c r="G10" s="53"/>
      <c r="H10" s="53"/>
      <c r="J10" s="61" t="s">
        <v>41</v>
      </c>
      <c r="K10" s="53"/>
      <c r="L10" s="53"/>
      <c r="M10" s="30"/>
      <c r="P10" s="5" t="s">
        <v>140</v>
      </c>
    </row>
    <row r="11" spans="2:28" ht="15" x14ac:dyDescent="0.2">
      <c r="B11" s="9"/>
      <c r="C11" s="5"/>
      <c r="D11" s="5"/>
      <c r="E11" s="5"/>
      <c r="M11" s="30"/>
      <c r="P11" s="5" t="s">
        <v>31</v>
      </c>
    </row>
    <row r="12" spans="2:28" ht="18" x14ac:dyDescent="0.25">
      <c r="B12" s="9"/>
      <c r="C12" s="5"/>
      <c r="D12" s="5"/>
      <c r="E12" s="5"/>
      <c r="F12" s="5" t="s">
        <v>6</v>
      </c>
      <c r="G12" s="1">
        <v>2.7</v>
      </c>
      <c r="H12" s="29" t="s">
        <v>20</v>
      </c>
      <c r="I12" s="29"/>
      <c r="J12" s="5" t="s">
        <v>5</v>
      </c>
      <c r="K12" s="1">
        <v>25</v>
      </c>
      <c r="L12" s="26" t="s">
        <v>21</v>
      </c>
      <c r="M12" s="30"/>
    </row>
    <row r="13" spans="2:28" ht="16.5" customHeight="1" x14ac:dyDescent="0.25">
      <c r="B13" s="31"/>
      <c r="C13" s="5"/>
      <c r="D13" s="5"/>
      <c r="E13" s="5"/>
      <c r="F13" s="5" t="s">
        <v>7</v>
      </c>
      <c r="G13" s="1">
        <v>1.1000000000000001</v>
      </c>
      <c r="H13" s="29" t="s">
        <v>20</v>
      </c>
      <c r="I13" s="29"/>
      <c r="J13" s="25" t="s">
        <v>46</v>
      </c>
      <c r="M13" s="30"/>
    </row>
    <row r="14" spans="2:28" ht="15.75" x14ac:dyDescent="0.25">
      <c r="B14" s="9"/>
      <c r="C14" s="5"/>
      <c r="D14" s="5"/>
      <c r="F14" s="5" t="s">
        <v>8</v>
      </c>
      <c r="G14" s="1">
        <v>2.6</v>
      </c>
      <c r="H14" s="29" t="s">
        <v>20</v>
      </c>
      <c r="I14" s="29"/>
      <c r="M14" s="30"/>
    </row>
    <row r="15" spans="2:28" ht="15.75" x14ac:dyDescent="0.25">
      <c r="B15" s="9"/>
      <c r="C15" s="5"/>
      <c r="D15" s="5"/>
      <c r="F15" s="5" t="s">
        <v>9</v>
      </c>
      <c r="G15" s="1">
        <v>1.2</v>
      </c>
      <c r="H15" s="29" t="s">
        <v>20</v>
      </c>
      <c r="I15" s="29"/>
      <c r="M15" s="30"/>
    </row>
    <row r="16" spans="2:28" ht="15.75" x14ac:dyDescent="0.25">
      <c r="B16" s="9"/>
      <c r="C16" s="5"/>
      <c r="D16" s="5"/>
      <c r="F16" s="5" t="s">
        <v>10</v>
      </c>
      <c r="G16" s="2">
        <v>220</v>
      </c>
      <c r="H16" s="29" t="s">
        <v>25</v>
      </c>
      <c r="I16" s="29"/>
      <c r="J16" s="61" t="s">
        <v>48</v>
      </c>
      <c r="K16" s="62"/>
      <c r="L16" s="53"/>
      <c r="M16" s="30"/>
    </row>
    <row r="17" spans="2:13" ht="18" customHeight="1" x14ac:dyDescent="0.25">
      <c r="B17" s="9"/>
      <c r="C17" s="5"/>
      <c r="D17" s="5"/>
      <c r="F17" s="5" t="s">
        <v>11</v>
      </c>
      <c r="G17" s="2">
        <v>163</v>
      </c>
      <c r="H17" s="29" t="s">
        <v>25</v>
      </c>
      <c r="I17" s="29"/>
      <c r="M17" s="30"/>
    </row>
    <row r="18" spans="2:13" ht="15.75" x14ac:dyDescent="0.25">
      <c r="B18" s="31"/>
      <c r="C18" s="5"/>
      <c r="D18" s="5"/>
      <c r="F18" s="5" t="s">
        <v>12</v>
      </c>
      <c r="G18" s="2">
        <v>250</v>
      </c>
      <c r="H18" s="29" t="s">
        <v>25</v>
      </c>
      <c r="I18" s="29"/>
      <c r="J18" s="57" t="s">
        <v>42</v>
      </c>
      <c r="M18" s="30"/>
    </row>
    <row r="19" spans="2:13" ht="18" x14ac:dyDescent="0.25">
      <c r="B19" s="31"/>
      <c r="C19" s="5"/>
      <c r="D19" s="5"/>
      <c r="F19" s="5" t="s">
        <v>13</v>
      </c>
      <c r="G19" s="2">
        <v>150</v>
      </c>
      <c r="H19" s="29" t="s">
        <v>25</v>
      </c>
      <c r="I19" s="29"/>
      <c r="J19" s="5" t="s">
        <v>3</v>
      </c>
      <c r="K19" s="1">
        <v>0</v>
      </c>
      <c r="L19" s="24" t="s">
        <v>22</v>
      </c>
      <c r="M19" s="30"/>
    </row>
    <row r="20" spans="2:13" ht="18.75" x14ac:dyDescent="0.25">
      <c r="B20" s="9"/>
      <c r="C20" s="5"/>
      <c r="D20" s="5"/>
      <c r="F20" s="5" t="s">
        <v>105</v>
      </c>
      <c r="G20" s="2">
        <v>12</v>
      </c>
      <c r="H20" s="29" t="s">
        <v>104</v>
      </c>
      <c r="I20" s="29"/>
      <c r="J20" s="5" t="s">
        <v>4</v>
      </c>
      <c r="K20" s="1">
        <v>0</v>
      </c>
      <c r="L20" s="24" t="s">
        <v>22</v>
      </c>
      <c r="M20" s="30"/>
    </row>
    <row r="21" spans="2:13" ht="19.5" x14ac:dyDescent="0.35">
      <c r="B21" s="27"/>
      <c r="C21" s="5"/>
      <c r="D21" s="5"/>
      <c r="E21" s="17"/>
      <c r="F21" s="5" t="s">
        <v>45</v>
      </c>
      <c r="G21" s="69">
        <f>ROUND(F*TreadNo/1000,2)</f>
        <v>1.96</v>
      </c>
      <c r="H21" s="29" t="s">
        <v>20</v>
      </c>
      <c r="I21" s="29"/>
      <c r="M21" s="30"/>
    </row>
    <row r="22" spans="2:13" ht="15.75" x14ac:dyDescent="0.25">
      <c r="B22" s="27"/>
      <c r="C22" s="5"/>
      <c r="D22" s="5"/>
      <c r="E22" s="17"/>
      <c r="F22" s="25"/>
      <c r="J22" s="57" t="s">
        <v>60</v>
      </c>
      <c r="M22" s="28"/>
    </row>
    <row r="23" spans="2:13" ht="18" x14ac:dyDescent="0.25">
      <c r="B23" s="9"/>
      <c r="C23" s="5"/>
      <c r="D23" s="5"/>
      <c r="E23" s="17"/>
      <c r="J23" s="5" t="s">
        <v>61</v>
      </c>
      <c r="K23" s="1">
        <v>4</v>
      </c>
      <c r="L23" s="24" t="s">
        <v>22</v>
      </c>
      <c r="M23" s="4"/>
    </row>
    <row r="24" spans="2:13" ht="18" x14ac:dyDescent="0.25">
      <c r="B24" s="9"/>
      <c r="C24" s="5"/>
      <c r="D24" s="5"/>
      <c r="E24" s="17"/>
      <c r="F24" s="61" t="s">
        <v>77</v>
      </c>
      <c r="G24" s="53"/>
      <c r="H24" s="53"/>
      <c r="J24" s="5" t="s">
        <v>62</v>
      </c>
      <c r="K24" s="1">
        <v>4</v>
      </c>
      <c r="L24" s="24" t="s">
        <v>22</v>
      </c>
      <c r="M24" s="4"/>
    </row>
    <row r="25" spans="2:13" ht="18.75" customHeight="1" x14ac:dyDescent="0.25">
      <c r="B25" s="9"/>
      <c r="C25" s="5"/>
      <c r="D25" s="5"/>
      <c r="E25" s="17"/>
      <c r="I25" s="29"/>
      <c r="J25" s="5"/>
      <c r="K25" s="152"/>
      <c r="L25" s="24"/>
      <c r="M25" s="60"/>
    </row>
    <row r="26" spans="2:13" ht="15.75" x14ac:dyDescent="0.25">
      <c r="B26" s="9"/>
      <c r="C26" s="5"/>
      <c r="D26" s="5"/>
      <c r="E26" s="17"/>
      <c r="F26" s="5" t="s">
        <v>112</v>
      </c>
      <c r="G26" s="2">
        <v>160</v>
      </c>
      <c r="H26" s="29" t="s">
        <v>25</v>
      </c>
      <c r="I26" s="29"/>
      <c r="M26" s="4"/>
    </row>
    <row r="27" spans="2:13" ht="15.75" x14ac:dyDescent="0.25">
      <c r="B27" s="9"/>
      <c r="C27" s="5"/>
      <c r="D27" s="5"/>
      <c r="F27" s="5" t="s">
        <v>113</v>
      </c>
      <c r="G27" s="2">
        <v>160</v>
      </c>
      <c r="H27" s="29" t="s">
        <v>25</v>
      </c>
      <c r="I27" s="29"/>
      <c r="J27" s="61" t="s">
        <v>44</v>
      </c>
      <c r="K27" s="53"/>
      <c r="L27" s="53"/>
      <c r="M27" s="4"/>
    </row>
    <row r="28" spans="2:13" ht="15.75" x14ac:dyDescent="0.25">
      <c r="B28" s="9"/>
      <c r="C28" s="5"/>
      <c r="D28" s="5"/>
      <c r="F28" s="5"/>
      <c r="G28" s="153"/>
      <c r="H28" s="29"/>
      <c r="M28" s="4"/>
    </row>
    <row r="29" spans="2:13" ht="15.75" customHeight="1" x14ac:dyDescent="0.25">
      <c r="B29" s="9"/>
      <c r="C29" s="5"/>
      <c r="D29" s="5"/>
      <c r="E29" s="17"/>
      <c r="F29" s="124"/>
      <c r="J29" s="5" t="s">
        <v>58</v>
      </c>
      <c r="K29" s="1">
        <v>1.2</v>
      </c>
      <c r="L29" s="29" t="s">
        <v>19</v>
      </c>
      <c r="M29" s="59"/>
    </row>
    <row r="30" spans="2:13" ht="15.75" x14ac:dyDescent="0.25">
      <c r="B30" s="9"/>
      <c r="C30" s="5"/>
      <c r="D30" s="5"/>
      <c r="E30" s="17"/>
      <c r="F30" s="61" t="s">
        <v>49</v>
      </c>
      <c r="G30" s="53"/>
      <c r="H30" s="53"/>
      <c r="J30" s="5" t="s">
        <v>59</v>
      </c>
      <c r="K30" s="1">
        <v>1.5</v>
      </c>
      <c r="L30" s="29" t="s">
        <v>19</v>
      </c>
      <c r="M30" s="59"/>
    </row>
    <row r="31" spans="2:13" ht="15" x14ac:dyDescent="0.2">
      <c r="B31" s="9"/>
      <c r="C31" s="5"/>
      <c r="D31" s="5"/>
      <c r="E31" s="17"/>
      <c r="I31" s="29"/>
      <c r="M31" s="4"/>
    </row>
    <row r="32" spans="2:13" ht="15" customHeight="1" x14ac:dyDescent="0.25">
      <c r="B32" s="9"/>
      <c r="C32" s="5"/>
      <c r="D32" s="5"/>
      <c r="E32" s="18"/>
      <c r="F32" s="5" t="s">
        <v>43</v>
      </c>
      <c r="G32" s="2">
        <v>220</v>
      </c>
      <c r="H32" s="29" t="s">
        <v>25</v>
      </c>
      <c r="J32" s="5"/>
      <c r="K32" s="5"/>
      <c r="L32" s="5"/>
      <c r="M32" s="4"/>
    </row>
    <row r="33" spans="2:13" ht="30.75" x14ac:dyDescent="0.25">
      <c r="B33" s="9"/>
      <c r="C33" s="5"/>
      <c r="D33" s="5"/>
      <c r="E33" s="17"/>
      <c r="F33" s="64" t="s">
        <v>114</v>
      </c>
      <c r="G33" s="2">
        <v>70</v>
      </c>
      <c r="H33" s="29" t="s">
        <v>25</v>
      </c>
      <c r="I33" s="29"/>
      <c r="J33" s="5"/>
      <c r="K33" s="5"/>
      <c r="L33" s="5"/>
      <c r="M33" s="4"/>
    </row>
    <row r="34" spans="2:13" ht="15.75" x14ac:dyDescent="0.25">
      <c r="B34" s="9"/>
      <c r="C34" s="5"/>
      <c r="D34" s="5"/>
      <c r="F34" s="143" t="s">
        <v>82</v>
      </c>
      <c r="G34" s="143"/>
      <c r="I34" s="29"/>
      <c r="J34" s="5"/>
      <c r="K34" s="5"/>
      <c r="L34" s="5"/>
      <c r="M34" s="4"/>
    </row>
    <row r="35" spans="2:13" ht="15.75" x14ac:dyDescent="0.25">
      <c r="B35" s="9"/>
      <c r="C35" s="5"/>
      <c r="D35" s="5"/>
      <c r="E35" s="17"/>
      <c r="F35" s="183" t="s">
        <v>81</v>
      </c>
      <c r="G35" s="183"/>
      <c r="H35" s="65"/>
      <c r="I35" s="29"/>
      <c r="J35" s="5"/>
      <c r="K35" s="152"/>
      <c r="L35" s="29"/>
      <c r="M35" s="4"/>
    </row>
    <row r="36" spans="2:13" ht="18.75" customHeight="1" x14ac:dyDescent="0.25">
      <c r="B36" s="9"/>
      <c r="J36" s="5"/>
      <c r="K36" s="152"/>
      <c r="L36" s="29"/>
      <c r="M36" s="4"/>
    </row>
    <row r="37" spans="2:13" ht="32.25" customHeight="1" x14ac:dyDescent="0.25">
      <c r="B37" s="9"/>
      <c r="F37" s="65"/>
      <c r="G37" s="65"/>
      <c r="H37" s="65"/>
      <c r="J37" s="66"/>
      <c r="K37" s="152"/>
      <c r="L37" s="63"/>
      <c r="M37" s="4"/>
    </row>
    <row r="38" spans="2:13" ht="15.75" customHeight="1" x14ac:dyDescent="0.2">
      <c r="B38" s="9"/>
      <c r="F38" s="65"/>
      <c r="G38" s="65"/>
      <c r="H38" s="65"/>
      <c r="J38" s="183"/>
      <c r="K38" s="183"/>
      <c r="L38" s="183"/>
      <c r="M38" s="4"/>
    </row>
    <row r="39" spans="2:13" ht="15.75" customHeight="1" x14ac:dyDescent="0.2">
      <c r="B39" s="9"/>
      <c r="F39" s="65"/>
      <c r="G39" s="65"/>
      <c r="H39" s="65"/>
      <c r="I39" s="26"/>
      <c r="J39" s="183"/>
      <c r="K39" s="183"/>
      <c r="L39" s="183"/>
      <c r="M39" s="4"/>
    </row>
    <row r="40" spans="2:13" ht="15.75" customHeight="1" x14ac:dyDescent="0.25">
      <c r="B40" s="180" t="s">
        <v>67</v>
      </c>
      <c r="C40" s="181"/>
      <c r="D40" s="181"/>
      <c r="E40" s="181"/>
      <c r="F40" s="181"/>
      <c r="G40" s="181"/>
      <c r="H40" s="181"/>
      <c r="I40" s="181"/>
      <c r="J40" s="181"/>
      <c r="K40" s="181"/>
      <c r="L40" s="181"/>
      <c r="M40" s="182"/>
    </row>
    <row r="41" spans="2:13" ht="15.75" customHeight="1" x14ac:dyDescent="0.2">
      <c r="B41" s="9"/>
      <c r="C41" s="5"/>
      <c r="D41" s="5"/>
      <c r="E41" s="17"/>
      <c r="F41" s="65"/>
      <c r="H41" s="65"/>
      <c r="J41" s="148"/>
      <c r="K41" s="148"/>
      <c r="L41" s="148"/>
      <c r="M41" s="4"/>
    </row>
    <row r="42" spans="2:13" ht="15.75" customHeight="1" x14ac:dyDescent="0.25">
      <c r="B42" s="83" t="s">
        <v>106</v>
      </c>
      <c r="C42" s="84"/>
      <c r="D42" s="84"/>
      <c r="E42" s="82"/>
      <c r="F42" s="85"/>
      <c r="H42" s="184" t="s">
        <v>107</v>
      </c>
      <c r="I42" s="184"/>
      <c r="J42" s="184"/>
      <c r="K42" s="184"/>
      <c r="L42" s="184"/>
      <c r="M42" s="4"/>
    </row>
    <row r="43" spans="2:13" ht="15.75" customHeight="1" x14ac:dyDescent="0.25">
      <c r="B43" s="9"/>
      <c r="C43" s="5"/>
      <c r="D43" s="5"/>
      <c r="E43" s="17"/>
      <c r="F43" s="65"/>
      <c r="I43" s="81"/>
      <c r="K43" s="148"/>
      <c r="L43" s="148"/>
      <c r="M43" s="4"/>
    </row>
    <row r="44" spans="2:13" ht="15.75" x14ac:dyDescent="0.2">
      <c r="B44" s="8" t="s">
        <v>101</v>
      </c>
      <c r="C44" s="5"/>
      <c r="D44" s="5"/>
      <c r="E44" s="86">
        <f>MAXA(J101,J102)</f>
        <v>9.35</v>
      </c>
      <c r="H44" s="57" t="s">
        <v>103</v>
      </c>
      <c r="J44" s="18"/>
      <c r="K44" s="86">
        <f>QTot.One.Flight.ULS/4</f>
        <v>11.07</v>
      </c>
      <c r="M44" s="4"/>
    </row>
    <row r="45" spans="2:13" ht="15.75" x14ac:dyDescent="0.2">
      <c r="B45" s="8" t="s">
        <v>102</v>
      </c>
      <c r="C45" s="5"/>
      <c r="D45" s="5"/>
      <c r="E45" s="86">
        <f>J103</f>
        <v>34.04</v>
      </c>
      <c r="H45" s="57" t="s">
        <v>68</v>
      </c>
      <c r="K45" s="148"/>
      <c r="L45" s="148"/>
      <c r="M45" s="4"/>
    </row>
    <row r="46" spans="2:13" ht="6" customHeight="1" x14ac:dyDescent="0.2">
      <c r="B46" s="8"/>
      <c r="C46" s="5"/>
      <c r="D46" s="5"/>
      <c r="E46" s="86"/>
      <c r="H46" s="57"/>
      <c r="K46" s="148"/>
      <c r="L46" s="148"/>
      <c r="M46" s="4"/>
    </row>
    <row r="47" spans="2:13" ht="46.5" customHeight="1" x14ac:dyDescent="0.25">
      <c r="B47" s="186" t="s">
        <v>110</v>
      </c>
      <c r="C47" s="187"/>
      <c r="D47" s="187"/>
      <c r="E47" s="87">
        <f>J109</f>
        <v>1.5300000000000002</v>
      </c>
      <c r="F47" s="73" t="str">
        <f>IF(E47&lt;0,"Uplift may occur","(OK - uplift cannot occur)")</f>
        <v>(OK - uplift cannot occur)</v>
      </c>
      <c r="I47" s="81"/>
      <c r="K47" s="148"/>
      <c r="L47" s="148"/>
      <c r="M47" s="4"/>
    </row>
    <row r="48" spans="2:13" ht="15.75" x14ac:dyDescent="0.25">
      <c r="B48" s="150"/>
      <c r="C48" s="151"/>
      <c r="D48" s="151"/>
      <c r="E48" s="87"/>
      <c r="F48" s="73"/>
      <c r="I48" s="81"/>
      <c r="K48" s="148"/>
      <c r="L48" s="148"/>
      <c r="M48" s="4"/>
    </row>
    <row r="49" spans="2:13" ht="15.75" x14ac:dyDescent="0.25">
      <c r="B49" s="123"/>
      <c r="C49" s="20" t="s">
        <v>78</v>
      </c>
      <c r="D49" s="151"/>
      <c r="F49" s="73"/>
      <c r="I49" s="20" t="s">
        <v>79</v>
      </c>
      <c r="K49" s="148"/>
      <c r="L49" s="148"/>
      <c r="M49" s="4"/>
    </row>
    <row r="50" spans="2:13" ht="15.75" x14ac:dyDescent="0.25">
      <c r="B50" s="123"/>
      <c r="C50" s="20" t="s">
        <v>94</v>
      </c>
      <c r="D50" s="151"/>
      <c r="E50" s="20"/>
      <c r="F50" s="73"/>
      <c r="I50" s="20" t="s">
        <v>95</v>
      </c>
      <c r="K50" s="148"/>
      <c r="L50" s="148"/>
      <c r="M50" s="4"/>
    </row>
    <row r="51" spans="2:13" ht="15.75" x14ac:dyDescent="0.25">
      <c r="B51" s="150"/>
      <c r="C51" s="151"/>
      <c r="D51" s="151"/>
      <c r="E51" s="20"/>
      <c r="F51" s="73"/>
      <c r="I51" s="81"/>
      <c r="K51" s="148"/>
      <c r="L51" s="148"/>
      <c r="M51" s="4"/>
    </row>
    <row r="52" spans="2:13" ht="15.75" x14ac:dyDescent="0.25">
      <c r="B52" s="150"/>
      <c r="C52" s="151"/>
      <c r="D52" s="151"/>
      <c r="F52" s="73"/>
      <c r="I52" s="81"/>
      <c r="K52" s="148"/>
      <c r="L52" s="148"/>
      <c r="M52" s="4"/>
    </row>
    <row r="53" spans="2:13" ht="15.75" x14ac:dyDescent="0.25">
      <c r="B53" s="150"/>
      <c r="C53" s="151"/>
      <c r="D53" s="151"/>
      <c r="F53" s="73"/>
      <c r="I53" s="81"/>
      <c r="K53" s="148"/>
      <c r="L53" s="148"/>
      <c r="M53" s="4"/>
    </row>
    <row r="54" spans="2:13" ht="15.75" x14ac:dyDescent="0.25">
      <c r="B54" s="150"/>
      <c r="C54" s="151"/>
      <c r="D54" s="151"/>
      <c r="F54" s="73"/>
      <c r="I54" s="81"/>
      <c r="J54" s="20"/>
      <c r="K54" s="148"/>
      <c r="L54" s="148"/>
      <c r="M54" s="4"/>
    </row>
    <row r="55" spans="2:13" ht="15.75" x14ac:dyDescent="0.25">
      <c r="B55" s="150"/>
      <c r="C55" s="151"/>
      <c r="D55" s="151"/>
      <c r="F55" s="73"/>
      <c r="I55" s="81"/>
      <c r="J55" s="20"/>
      <c r="K55" s="148"/>
      <c r="L55" s="148"/>
      <c r="M55" s="4"/>
    </row>
    <row r="56" spans="2:13" ht="15.75" x14ac:dyDescent="0.25">
      <c r="B56" s="150"/>
      <c r="C56" s="151"/>
      <c r="D56" s="151"/>
      <c r="E56" s="87"/>
      <c r="F56" s="73"/>
      <c r="I56" s="81"/>
      <c r="K56" s="148"/>
      <c r="L56" s="148"/>
      <c r="M56" s="4"/>
    </row>
    <row r="57" spans="2:13" ht="15.75" x14ac:dyDescent="0.25">
      <c r="B57" s="150"/>
      <c r="C57" s="151"/>
      <c r="D57" s="151"/>
      <c r="E57" s="87"/>
      <c r="F57" s="73"/>
      <c r="I57" s="81"/>
      <c r="K57" s="148"/>
      <c r="L57" s="148"/>
      <c r="M57" s="4"/>
    </row>
    <row r="58" spans="2:13" ht="15.75" x14ac:dyDescent="0.25">
      <c r="B58" s="150"/>
      <c r="C58" s="151"/>
      <c r="D58" s="151"/>
      <c r="E58" s="87"/>
      <c r="F58" s="73"/>
      <c r="I58" s="81"/>
      <c r="K58" s="148"/>
      <c r="L58" s="148"/>
      <c r="M58" s="4"/>
    </row>
    <row r="59" spans="2:13" ht="15.75" customHeight="1" x14ac:dyDescent="0.25">
      <c r="B59" s="9"/>
      <c r="C59" s="5"/>
      <c r="D59" s="5"/>
      <c r="E59" s="17"/>
      <c r="F59" s="65"/>
      <c r="I59" s="81"/>
      <c r="K59" s="148"/>
      <c r="L59" s="148"/>
      <c r="M59" s="4"/>
    </row>
    <row r="60" spans="2:13" ht="15.75" customHeight="1" x14ac:dyDescent="0.25">
      <c r="B60" s="140" t="s">
        <v>96</v>
      </c>
      <c r="C60" s="138"/>
      <c r="D60" s="138" t="s">
        <v>122</v>
      </c>
      <c r="E60" s="139" t="s">
        <v>97</v>
      </c>
      <c r="F60" s="139" t="s">
        <v>120</v>
      </c>
      <c r="H60" s="139" t="s">
        <v>121</v>
      </c>
      <c r="J60" s="141" t="s">
        <v>98</v>
      </c>
      <c r="L60" s="141" t="s">
        <v>99</v>
      </c>
      <c r="M60" s="4"/>
    </row>
    <row r="61" spans="2:13" ht="15.75" customHeight="1" x14ac:dyDescent="0.25">
      <c r="B61" s="9"/>
      <c r="C61" s="5"/>
      <c r="D61" s="5"/>
      <c r="E61" s="17"/>
      <c r="F61" s="65"/>
      <c r="I61" s="81"/>
      <c r="K61" s="148"/>
      <c r="L61" s="148"/>
      <c r="M61" s="4"/>
    </row>
    <row r="62" spans="2:13" ht="15.75" x14ac:dyDescent="0.25">
      <c r="B62" s="180" t="s">
        <v>72</v>
      </c>
      <c r="C62" s="181"/>
      <c r="D62" s="181"/>
      <c r="E62" s="181"/>
      <c r="F62" s="181"/>
      <c r="G62" s="181"/>
      <c r="H62" s="181"/>
      <c r="I62" s="181"/>
      <c r="J62" s="181"/>
      <c r="K62" s="181"/>
      <c r="L62" s="181"/>
      <c r="M62" s="182"/>
    </row>
    <row r="63" spans="2:13" s="96" customFormat="1" ht="15.75" x14ac:dyDescent="0.25">
      <c r="B63" s="71"/>
      <c r="C63" s="72"/>
      <c r="D63" s="72"/>
      <c r="E63" s="72"/>
      <c r="F63" s="72"/>
      <c r="G63" s="72"/>
      <c r="H63" s="72"/>
      <c r="I63" s="72"/>
      <c r="J63" s="72"/>
      <c r="K63" s="72"/>
      <c r="L63" s="72"/>
      <c r="M63" s="11"/>
    </row>
    <row r="64" spans="2:13" ht="16.5" thickBot="1" x14ac:dyDescent="0.25">
      <c r="B64" s="109" t="s">
        <v>76</v>
      </c>
      <c r="C64" s="108"/>
      <c r="D64" s="108"/>
      <c r="E64" s="108"/>
      <c r="F64" s="108"/>
      <c r="G64" s="108"/>
      <c r="H64" s="108"/>
      <c r="I64" s="108"/>
      <c r="J64" s="108"/>
      <c r="K64" s="108"/>
      <c r="L64" s="108"/>
      <c r="M64" s="11"/>
    </row>
    <row r="65" spans="2:24" ht="15.75" x14ac:dyDescent="0.25">
      <c r="B65" s="107" t="s">
        <v>64</v>
      </c>
      <c r="G65" s="107"/>
      <c r="H65" s="81" t="s">
        <v>24</v>
      </c>
      <c r="I65" s="5"/>
      <c r="J65" s="5"/>
      <c r="K65" s="5"/>
      <c r="L65" s="5"/>
      <c r="M65" s="11"/>
    </row>
    <row r="66" spans="2:24" ht="5.0999999999999996" customHeight="1" x14ac:dyDescent="0.2">
      <c r="B66" s="15"/>
      <c r="F66" s="149"/>
      <c r="G66" s="15"/>
      <c r="H66" s="5"/>
      <c r="I66" s="18"/>
      <c r="J66" s="18"/>
      <c r="M66" s="11"/>
    </row>
    <row r="67" spans="2:24" ht="15" x14ac:dyDescent="0.2">
      <c r="B67" s="15"/>
      <c r="G67" s="15"/>
      <c r="H67" s="5" t="s">
        <v>30</v>
      </c>
      <c r="J67" s="88">
        <f>SQRT(F^2+G^2)*Ce*1000/G</f>
        <v>3103.8207164718774</v>
      </c>
      <c r="L67" s="90"/>
      <c r="M67" s="11"/>
    </row>
    <row r="68" spans="2:24" ht="16.5" customHeight="1" x14ac:dyDescent="0.2">
      <c r="B68" s="15"/>
      <c r="G68" s="15"/>
      <c r="H68" s="5"/>
      <c r="J68" s="92"/>
      <c r="L68" s="29"/>
      <c r="M68" s="11"/>
    </row>
    <row r="69" spans="2:24" ht="5.0999999999999996" customHeight="1" x14ac:dyDescent="0.2">
      <c r="B69" s="15"/>
      <c r="F69" s="149"/>
      <c r="G69" s="15"/>
      <c r="H69" s="5"/>
      <c r="I69" s="18"/>
      <c r="J69" s="18"/>
      <c r="M69" s="11"/>
    </row>
    <row r="70" spans="2:24" ht="16.5" customHeight="1" x14ac:dyDescent="0.2">
      <c r="B70" s="68" t="s">
        <v>17</v>
      </c>
      <c r="C70" s="17"/>
      <c r="D70" s="5"/>
      <c r="G70" s="15"/>
      <c r="H70" s="97" t="s">
        <v>17</v>
      </c>
      <c r="J70" s="16"/>
      <c r="L70" s="90"/>
      <c r="M70" s="11"/>
    </row>
    <row r="71" spans="2:24" ht="15" x14ac:dyDescent="0.2">
      <c r="B71" s="9" t="s">
        <v>111</v>
      </c>
      <c r="C71" s="5"/>
      <c r="D71" s="10">
        <f>ROUNDDOWN(A*B*E/1000*ConcreteDensity,2)</f>
        <v>16.329999999999998</v>
      </c>
      <c r="E71" s="12"/>
      <c r="F71" s="23"/>
      <c r="G71" s="15"/>
      <c r="H71" s="5" t="s">
        <v>34</v>
      </c>
      <c r="I71" s="5"/>
      <c r="J71" s="10">
        <f>J67/1000*H/1000*D*ConcreteDensity</f>
        <v>13.967193224123447</v>
      </c>
      <c r="L71" s="90"/>
      <c r="M71" s="11"/>
    </row>
    <row r="72" spans="2:24" ht="15" x14ac:dyDescent="0.2">
      <c r="B72" s="27" t="s">
        <v>32</v>
      </c>
      <c r="C72" s="5"/>
      <c r="D72" s="10">
        <f>ROUNDDOWN(A*B*FinishesLanding,2)</f>
        <v>0</v>
      </c>
      <c r="E72" s="12"/>
      <c r="F72" s="23"/>
      <c r="G72" s="15"/>
      <c r="H72" s="5" t="s">
        <v>35</v>
      </c>
      <c r="I72" s="5"/>
      <c r="J72" s="10">
        <f>F/1000*G/1000*D*(TreadNo)*ConcreteDensity*0.5</f>
        <v>7.335</v>
      </c>
      <c r="M72" s="11"/>
    </row>
    <row r="73" spans="2:24" ht="15" x14ac:dyDescent="0.2">
      <c r="B73" s="9" t="s">
        <v>65</v>
      </c>
      <c r="C73" s="5"/>
      <c r="D73" s="10">
        <f>ROUNDDOWN((D72+D71),2)</f>
        <v>16.329999999999998</v>
      </c>
      <c r="E73" s="6" t="str">
        <f>"x "&amp;DLfactorULS&amp;" ="</f>
        <v>x 1,2 =</v>
      </c>
      <c r="F73" s="13">
        <f>ROUNDDOWN(QTot.Landing.Deadload*DLfactorULS,2)</f>
        <v>19.59</v>
      </c>
      <c r="G73" s="15"/>
      <c r="H73" s="5" t="s">
        <v>14</v>
      </c>
      <c r="I73" s="5"/>
      <c r="J73" s="10">
        <f>Ce*D*FinishesFlight</f>
        <v>0</v>
      </c>
      <c r="M73" s="11"/>
    </row>
    <row r="74" spans="2:24" ht="15.75" x14ac:dyDescent="0.25">
      <c r="B74" s="15"/>
      <c r="E74" s="12"/>
      <c r="F74" s="100"/>
      <c r="G74" s="15"/>
      <c r="H74" s="5" t="s">
        <v>56</v>
      </c>
      <c r="I74" s="5"/>
      <c r="J74" s="10">
        <f>J71+J72+J73</f>
        <v>21.302193224123446</v>
      </c>
      <c r="K74" s="12" t="str">
        <f>"x "&amp;DLfactorULS&amp;" ="</f>
        <v>x 1,2 =</v>
      </c>
      <c r="L74" s="13">
        <f>ROUNDDOWN(QTot.Flight.Deadload*DLfactorULS,2)</f>
        <v>25.56</v>
      </c>
      <c r="M74" s="14"/>
    </row>
    <row r="75" spans="2:24" ht="5.0999999999999996" customHeight="1" x14ac:dyDescent="0.2">
      <c r="B75" s="15"/>
      <c r="F75" s="149"/>
      <c r="G75" s="15"/>
      <c r="H75" s="5"/>
      <c r="I75" s="18"/>
      <c r="J75" s="18"/>
      <c r="M75" s="11"/>
    </row>
    <row r="76" spans="2:24" ht="15" x14ac:dyDescent="0.2">
      <c r="B76" s="68" t="s">
        <v>18</v>
      </c>
      <c r="F76" s="149"/>
      <c r="G76" s="15"/>
      <c r="H76" s="97" t="s">
        <v>18</v>
      </c>
      <c r="J76" s="16"/>
      <c r="M76" s="4"/>
    </row>
    <row r="77" spans="2:24" ht="15" x14ac:dyDescent="0.2">
      <c r="B77" s="9" t="s">
        <v>33</v>
      </c>
      <c r="D77" s="10">
        <f>ROUNDDOWN(A*B*LiveloadLanding,2)</f>
        <v>11.88</v>
      </c>
      <c r="F77" s="149"/>
      <c r="G77" s="15"/>
      <c r="H77" s="5" t="s">
        <v>15</v>
      </c>
      <c r="I77" s="17"/>
      <c r="J77" s="10">
        <f>ROUNDDOWN(Ce*D*LiveloadFlight,2)</f>
        <v>12.48</v>
      </c>
      <c r="M77" s="4"/>
      <c r="X77" s="37"/>
    </row>
    <row r="78" spans="2:24" ht="15.75" x14ac:dyDescent="0.25">
      <c r="B78" s="9" t="s">
        <v>66</v>
      </c>
      <c r="C78" s="5"/>
      <c r="D78" s="10">
        <f>D77</f>
        <v>11.88</v>
      </c>
      <c r="E78" s="6" t="str">
        <f>"x "&amp;LLfactorULS&amp;" ="</f>
        <v>x 1,5 =</v>
      </c>
      <c r="F78" s="13">
        <f>ROUNDDOWN(QTot.Landing.Liveload*LLfactorULS,2)</f>
        <v>17.82</v>
      </c>
      <c r="G78" s="15"/>
      <c r="H78" s="5" t="s">
        <v>55</v>
      </c>
      <c r="I78" s="5"/>
      <c r="J78" s="10">
        <f>J77</f>
        <v>12.48</v>
      </c>
      <c r="K78" s="12" t="str">
        <f>"x "&amp;LLfactorULS&amp;" ="</f>
        <v>x 1,5 =</v>
      </c>
      <c r="L78" s="13">
        <f>ROUNDDOWN(QTot.Flight.Liveload*LLfactorULS,2)</f>
        <v>18.72</v>
      </c>
      <c r="M78" s="14"/>
    </row>
    <row r="79" spans="2:24" ht="5.0999999999999996" customHeight="1" x14ac:dyDescent="0.2">
      <c r="B79" s="15"/>
      <c r="F79" s="149"/>
      <c r="G79" s="15"/>
      <c r="H79" s="5"/>
      <c r="I79" s="18"/>
      <c r="J79" s="18"/>
      <c r="M79" s="11"/>
    </row>
    <row r="80" spans="2:24" ht="19.5" thickBot="1" x14ac:dyDescent="0.3">
      <c r="B80" s="93" t="s">
        <v>50</v>
      </c>
      <c r="C80" s="94"/>
      <c r="D80" s="95"/>
      <c r="E80" s="110" t="s">
        <v>115</v>
      </c>
      <c r="F80" s="144">
        <f>F78+F73</f>
        <v>37.409999999999997</v>
      </c>
      <c r="G80" s="99"/>
      <c r="H80" s="98" t="s">
        <v>47</v>
      </c>
      <c r="I80" s="94"/>
      <c r="J80" s="110" t="s">
        <v>116</v>
      </c>
      <c r="K80" s="115"/>
      <c r="L80" s="144">
        <f>L78+L74</f>
        <v>44.28</v>
      </c>
      <c r="M80" s="11"/>
    </row>
    <row r="81" spans="2:26" ht="15" x14ac:dyDescent="0.2">
      <c r="B81" s="8"/>
      <c r="C81" s="80"/>
      <c r="D81" s="80"/>
      <c r="E81" s="17"/>
      <c r="F81" s="21"/>
      <c r="G81" s="21"/>
      <c r="H81" s="12"/>
      <c r="I81" s="13"/>
      <c r="M81" s="11"/>
    </row>
    <row r="82" spans="2:26" ht="16.5" thickBot="1" x14ac:dyDescent="0.25">
      <c r="B82" s="109" t="s">
        <v>73</v>
      </c>
      <c r="C82" s="108"/>
      <c r="D82" s="108"/>
      <c r="E82" s="108"/>
      <c r="F82" s="108"/>
      <c r="G82" s="108"/>
      <c r="H82" s="108"/>
      <c r="I82" s="108"/>
      <c r="J82" s="108"/>
      <c r="K82" s="108"/>
      <c r="L82" s="108"/>
      <c r="M82" s="11"/>
    </row>
    <row r="83" spans="2:26" ht="15.75" x14ac:dyDescent="0.25">
      <c r="B83" s="71"/>
      <c r="C83" s="72"/>
      <c r="D83" s="72"/>
      <c r="E83" s="72"/>
      <c r="F83" s="72"/>
      <c r="G83" s="72"/>
      <c r="H83" s="72"/>
      <c r="I83" s="72"/>
      <c r="J83" s="72"/>
      <c r="K83" s="72"/>
      <c r="L83" s="72"/>
      <c r="M83" s="11"/>
    </row>
    <row r="84" spans="2:26" ht="19.5" x14ac:dyDescent="0.25">
      <c r="B84" s="71" t="s">
        <v>74</v>
      </c>
      <c r="C84" s="51"/>
      <c r="D84" s="51"/>
      <c r="E84" s="18"/>
      <c r="F84" s="7"/>
      <c r="G84" s="19" t="s">
        <v>70</v>
      </c>
      <c r="K84" s="6" t="str">
        <f>QTot.One.Flight.ULS&amp;"kN / 2  ∙ 2 ="</f>
        <v>44,28kN / 2  ∙ 2 =</v>
      </c>
      <c r="L84" s="13">
        <f>ROUNDDOWN((QTot.One.Flight.ULS)/2*2,2)</f>
        <v>44.28</v>
      </c>
      <c r="M84" s="11"/>
      <c r="Z84" s="37"/>
    </row>
    <row r="85" spans="2:26" ht="15" x14ac:dyDescent="0.2">
      <c r="B85" s="52"/>
      <c r="C85" s="91"/>
      <c r="D85" s="91"/>
      <c r="E85" s="17"/>
      <c r="M85" s="11"/>
      <c r="W85" s="37"/>
      <c r="X85" s="37"/>
      <c r="Z85" s="37"/>
    </row>
    <row r="86" spans="2:26" ht="16.5" thickBot="1" x14ac:dyDescent="0.3">
      <c r="B86" s="93" t="s">
        <v>109</v>
      </c>
      <c r="C86" s="110"/>
      <c r="D86" s="110"/>
      <c r="E86" s="111"/>
      <c r="F86" s="112"/>
      <c r="G86" s="113"/>
      <c r="H86" s="114"/>
      <c r="I86" s="104"/>
      <c r="J86" s="104"/>
      <c r="K86" s="104"/>
      <c r="L86" s="104"/>
      <c r="M86" s="11"/>
      <c r="W86" s="37"/>
      <c r="X86" s="37"/>
      <c r="Z86" s="37"/>
    </row>
    <row r="87" spans="2:26" ht="15.75" x14ac:dyDescent="0.25">
      <c r="B87" s="127"/>
      <c r="C87" s="32"/>
      <c r="D87" s="32"/>
      <c r="E87" s="128"/>
      <c r="F87" s="129"/>
      <c r="G87" s="133"/>
      <c r="H87" s="7"/>
      <c r="I87" s="23"/>
      <c r="J87" s="23"/>
      <c r="K87" s="23"/>
      <c r="L87" s="23"/>
      <c r="M87" s="11"/>
      <c r="W87" s="37"/>
      <c r="X87" s="37"/>
      <c r="Z87" s="37"/>
    </row>
    <row r="88" spans="2:26" ht="15" x14ac:dyDescent="0.2">
      <c r="B88" s="130" t="s">
        <v>108</v>
      </c>
      <c r="C88" s="131"/>
      <c r="D88" s="131"/>
      <c r="E88" s="74"/>
      <c r="F88" s="91"/>
      <c r="G88" s="15"/>
      <c r="H88" s="132" t="s">
        <v>119</v>
      </c>
      <c r="I88" s="74"/>
      <c r="J88" s="74"/>
      <c r="K88" s="74"/>
      <c r="M88" s="11"/>
    </row>
    <row r="89" spans="2:26" ht="3.75" customHeight="1" x14ac:dyDescent="0.2">
      <c r="B89" s="130"/>
      <c r="C89" s="131"/>
      <c r="D89" s="131"/>
      <c r="E89" s="74"/>
      <c r="F89" s="91"/>
      <c r="G89" s="130"/>
      <c r="H89" s="74"/>
      <c r="I89" s="74"/>
      <c r="J89" s="74"/>
      <c r="K89" s="74"/>
      <c r="M89" s="11"/>
    </row>
    <row r="90" spans="2:26" ht="19.5" x14ac:dyDescent="0.35">
      <c r="B90" s="52" t="s">
        <v>80</v>
      </c>
      <c r="E90" s="6" t="s">
        <v>88</v>
      </c>
      <c r="F90" s="13">
        <f>ROUND(QTot.One.Flight.ULS/2,2)</f>
        <v>22.14</v>
      </c>
      <c r="G90" s="15"/>
      <c r="H90" s="5"/>
      <c r="I90" s="18"/>
      <c r="J90" s="18"/>
      <c r="M90" s="11"/>
    </row>
    <row r="91" spans="2:26" ht="19.5" x14ac:dyDescent="0.35">
      <c r="B91" s="125" t="s">
        <v>83</v>
      </c>
      <c r="D91" s="6" t="b">
        <v>0</v>
      </c>
      <c r="E91" s="13">
        <f>ROUNDDOWN(Rmax.ULS*(C97+D97)/C97,2)</f>
        <v>24.69</v>
      </c>
      <c r="G91" s="15"/>
      <c r="H91" s="79" t="s">
        <v>85</v>
      </c>
      <c r="J91" s="6" t="str">
        <f>"("&amp;QTot.Landing.ULS&amp;"/2 kN ∙ "&amp;I94&amp;"mm"&amp;") / "&amp;I97&amp;"mm"&amp;" ="</f>
        <v>(37,41/2 kN ∙ 390mm) / 780mm =</v>
      </c>
      <c r="K91" s="13">
        <f>ROUNDDOWN(QTot.Landing.ULS/2*I94/I97,2)</f>
        <v>9.35</v>
      </c>
      <c r="M91" s="11"/>
    </row>
    <row r="92" spans="2:26" ht="19.5" x14ac:dyDescent="0.35">
      <c r="B92" s="125" t="s">
        <v>84</v>
      </c>
      <c r="D92" s="6" t="str">
        <f>Rmax.ULS&amp;"kN - "&amp;FFrontULSFlight&amp;"kN"&amp;" ="</f>
        <v>22,14kN - 24,69kN =</v>
      </c>
      <c r="E92" s="13">
        <f>ROUNDDOWN(Rmax.ULS-FFrontULSFlight,2)</f>
        <v>-2.5499999999999998</v>
      </c>
      <c r="G92" s="15"/>
      <c r="H92" s="79" t="s">
        <v>86</v>
      </c>
      <c r="J92" s="6" t="str">
        <f>QTot.Landing.ULS&amp;"/2kN - "&amp;FFrontULSLanding&amp;"kN"&amp;" ="</f>
        <v>37,41/2kN - 9,35kN =</v>
      </c>
      <c r="K92" s="13">
        <f>ROUNDDOWN(QTot.Landing.ULS/2-FFrontULSLanding,2)</f>
        <v>9.35</v>
      </c>
      <c r="M92" s="11"/>
      <c r="N92" s="5"/>
      <c r="O92" s="5"/>
      <c r="P92" s="5"/>
      <c r="Q92" s="5"/>
      <c r="R92" s="5"/>
      <c r="S92" s="5"/>
      <c r="T92" s="5"/>
    </row>
    <row r="93" spans="2:26" ht="15" x14ac:dyDescent="0.2">
      <c r="B93" s="15"/>
      <c r="C93" s="12"/>
      <c r="D93" s="23"/>
      <c r="G93" s="15"/>
      <c r="I93" s="12"/>
      <c r="J93" s="23"/>
      <c r="M93" s="11"/>
      <c r="N93" s="5"/>
      <c r="O93" s="5"/>
      <c r="P93" s="5"/>
      <c r="Q93" s="5"/>
      <c r="R93" s="5"/>
      <c r="S93" s="5"/>
      <c r="T93" s="5"/>
      <c r="U93" s="5"/>
    </row>
    <row r="94" spans="2:26" ht="15" x14ac:dyDescent="0.2">
      <c r="B94" s="126"/>
      <c r="E94" s="149" t="str">
        <f>"  Rmax.ULS = "&amp;Rmax.ULS&amp;"kN"</f>
        <v xml:space="preserve">  Rmax.ULS = 22,14kN</v>
      </c>
      <c r="G94" s="15"/>
      <c r="H94" s="7"/>
      <c r="I94" s="70">
        <f>B*1000/2-J</f>
        <v>390</v>
      </c>
      <c r="J94" s="185" t="str">
        <f>"  QTot.Landing.ULS /2= "&amp;ROUNDDOWN(QTot.Landing.ULS/2,2)&amp;"kN"</f>
        <v xml:space="preserve">  QTot.Landing.ULS /2= 18,7kN</v>
      </c>
      <c r="K94" s="185"/>
      <c r="M94" s="11"/>
      <c r="N94" s="5"/>
      <c r="O94" s="5"/>
      <c r="P94" s="5"/>
      <c r="Q94" s="5"/>
      <c r="R94" s="5"/>
      <c r="S94" s="5"/>
      <c r="T94" s="5"/>
      <c r="U94" s="5"/>
    </row>
    <row r="95" spans="2:26" ht="15" x14ac:dyDescent="0.2">
      <c r="B95" s="126"/>
      <c r="C95" s="5"/>
      <c r="D95" s="5"/>
      <c r="E95" s="5"/>
      <c r="G95" s="15"/>
      <c r="H95" s="7"/>
      <c r="I95" s="5"/>
      <c r="J95" s="5"/>
      <c r="K95" s="5"/>
      <c r="M95" s="11"/>
      <c r="N95" s="5"/>
      <c r="O95" s="5"/>
      <c r="P95" s="5"/>
      <c r="Q95" s="5"/>
      <c r="R95" s="5"/>
      <c r="S95" s="5"/>
      <c r="T95" s="5"/>
      <c r="U95" s="5"/>
    </row>
    <row r="96" spans="2:26" ht="15" x14ac:dyDescent="0.2">
      <c r="B96" s="126"/>
      <c r="C96" s="5"/>
      <c r="D96" s="5"/>
      <c r="E96" s="5"/>
      <c r="G96" s="15"/>
      <c r="H96" s="7"/>
      <c r="I96" s="5"/>
      <c r="J96" s="5"/>
      <c r="K96" s="5"/>
      <c r="M96" s="11"/>
      <c r="N96" s="5"/>
      <c r="O96" s="5"/>
      <c r="P96" s="5"/>
      <c r="Q96" s="5"/>
      <c r="R96" s="5"/>
      <c r="S96" s="5"/>
      <c r="T96" s="5"/>
      <c r="U96" s="5"/>
    </row>
    <row r="97" spans="2:23" ht="15" x14ac:dyDescent="0.2">
      <c r="B97" s="89"/>
      <c r="C97" s="88">
        <f>B*1000-J-I</f>
        <v>780</v>
      </c>
      <c r="D97" s="88">
        <f>(I-N)</f>
        <v>90</v>
      </c>
      <c r="G97" s="15"/>
      <c r="H97" s="70"/>
      <c r="I97" s="88">
        <f>B*1000-J-I</f>
        <v>780</v>
      </c>
      <c r="J97" s="88"/>
      <c r="M97" s="11"/>
      <c r="N97" s="5"/>
      <c r="O97" s="5"/>
      <c r="P97" s="5"/>
      <c r="Q97" s="5"/>
      <c r="R97" s="5"/>
      <c r="S97" s="5"/>
      <c r="T97" s="5"/>
      <c r="U97" s="5"/>
    </row>
    <row r="98" spans="2:23" ht="19.5" x14ac:dyDescent="0.35">
      <c r="B98" s="15"/>
      <c r="C98" s="100" t="s">
        <v>92</v>
      </c>
      <c r="D98" s="12" t="s">
        <v>93</v>
      </c>
      <c r="E98" s="12"/>
      <c r="F98" s="135"/>
      <c r="G98" s="136"/>
      <c r="H98" s="23" t="s">
        <v>89</v>
      </c>
      <c r="I98" s="135"/>
      <c r="J98" s="12" t="s">
        <v>100</v>
      </c>
      <c r="K98" s="5"/>
      <c r="M98" s="11"/>
      <c r="Q98" s="5"/>
      <c r="R98" s="5"/>
      <c r="S98" s="5"/>
      <c r="T98" s="5"/>
      <c r="U98" s="5"/>
    </row>
    <row r="99" spans="2:23" ht="15" x14ac:dyDescent="0.2">
      <c r="B99" s="15"/>
      <c r="C99" s="142" t="str">
        <f>"= "&amp;FRearULSFlight&amp;"kN"</f>
        <v>= -2,55kN</v>
      </c>
      <c r="D99" s="135" t="str">
        <f>" = "&amp;FFrontULSFlight&amp;"kN"</f>
        <v xml:space="preserve"> = 24,69kN</v>
      </c>
      <c r="E99" s="135"/>
      <c r="F99" s="12"/>
      <c r="G99" s="136"/>
      <c r="H99" s="137" t="str">
        <f>" = "&amp;FRearULSLanding&amp;"kN"</f>
        <v xml:space="preserve"> = 9,35kN</v>
      </c>
      <c r="I99" s="135"/>
      <c r="J99" s="137" t="str">
        <f>" = "&amp;FFrontULSLanding&amp;"kN"</f>
        <v xml:space="preserve"> = 9,35kN</v>
      </c>
      <c r="L99" s="5"/>
      <c r="M99" s="11"/>
      <c r="Q99" s="5"/>
      <c r="R99" s="5"/>
      <c r="S99" s="5"/>
      <c r="T99" s="5"/>
      <c r="U99" s="5"/>
    </row>
    <row r="100" spans="2:23" ht="15.75" thickBot="1" x14ac:dyDescent="0.25">
      <c r="B100" s="93"/>
      <c r="C100" s="115"/>
      <c r="D100" s="115"/>
      <c r="E100" s="115"/>
      <c r="F100" s="115"/>
      <c r="G100" s="134"/>
      <c r="H100" s="114"/>
      <c r="I100" s="104"/>
      <c r="J100" s="104"/>
      <c r="K100" s="104"/>
      <c r="L100" s="104"/>
      <c r="M100" s="4"/>
      <c r="Q100" s="5"/>
      <c r="R100" s="5"/>
      <c r="S100" s="5"/>
      <c r="T100" s="5"/>
      <c r="U100" s="5"/>
      <c r="V100" s="5"/>
      <c r="W100" s="5"/>
    </row>
    <row r="101" spans="2:23" ht="15.75" x14ac:dyDescent="0.25">
      <c r="B101" s="8" t="s">
        <v>87</v>
      </c>
      <c r="I101" s="6" t="str">
        <f>" ="</f>
        <v xml:space="preserve"> =</v>
      </c>
      <c r="J101" s="145">
        <f>ROUNDDOWN(FRearULSLanding,2)</f>
        <v>9.35</v>
      </c>
      <c r="M101" s="4"/>
      <c r="Q101" s="5"/>
      <c r="R101" s="5"/>
      <c r="S101" s="5"/>
      <c r="T101" s="5"/>
      <c r="U101" s="5"/>
      <c r="V101" s="5"/>
      <c r="W101" s="5"/>
    </row>
    <row r="102" spans="2:23" ht="15.75" x14ac:dyDescent="0.25">
      <c r="B102" s="8" t="s">
        <v>51</v>
      </c>
      <c r="C102" s="75"/>
      <c r="D102" s="75"/>
      <c r="E102" s="17"/>
      <c r="I102" s="6" t="str">
        <f>FRearULSFlight&amp;"kN +("&amp;FRearULSLanding&amp;"kN) ="</f>
        <v>-2,55kN +(9,35kN) =</v>
      </c>
      <c r="J102" s="145">
        <f>ROUNDDOWN(FRearULSFlight+FRearULSLanding,2)</f>
        <v>6.8</v>
      </c>
      <c r="K102" s="7" t="str">
        <f>IF(J102&gt;100,"The vertical load exceeds the capacity of the steel unit","")</f>
        <v/>
      </c>
      <c r="L102" s="5"/>
      <c r="M102" s="4"/>
      <c r="Q102" s="5"/>
      <c r="R102" s="5"/>
      <c r="S102" s="5"/>
      <c r="T102" s="5"/>
      <c r="U102" s="5"/>
      <c r="V102" s="5"/>
      <c r="W102" s="5"/>
    </row>
    <row r="103" spans="2:23" ht="15.75" x14ac:dyDescent="0.25">
      <c r="B103" s="8" t="s">
        <v>52</v>
      </c>
      <c r="C103" s="76"/>
      <c r="D103" s="76"/>
      <c r="E103" s="74"/>
      <c r="I103" s="6" t="str">
        <f>FFrontULSFlight&amp;"kN +"&amp;FFrontULSLanding&amp;"kN ="</f>
        <v>24,69kN +9,35kN =</v>
      </c>
      <c r="J103" s="145">
        <f>ROUNDDOWN(FFrontULSFlight+FFrontULSLanding,2)</f>
        <v>34.04</v>
      </c>
      <c r="K103" s="73" t="str">
        <f>IF(J103&gt;100,"The vertical load exceeds the capacity of the steel unit","")</f>
        <v/>
      </c>
      <c r="L103" s="5"/>
      <c r="M103" s="4"/>
      <c r="Q103" s="5"/>
      <c r="R103" s="5"/>
      <c r="S103" s="5"/>
      <c r="T103" s="5"/>
      <c r="U103" s="5"/>
      <c r="V103" s="5"/>
      <c r="W103" s="5"/>
    </row>
    <row r="104" spans="2:23" ht="16.5" thickBot="1" x14ac:dyDescent="0.3">
      <c r="B104" s="101" t="s">
        <v>54</v>
      </c>
      <c r="C104" s="94"/>
      <c r="D104" s="102" t="s">
        <v>90</v>
      </c>
      <c r="E104" s="146" t="str">
        <f>QTot.Landing.ULS+QTot.Flights.ULS&amp;"kN"</f>
        <v>81,69kN</v>
      </c>
      <c r="F104" s="103" t="s">
        <v>69</v>
      </c>
      <c r="G104" s="94"/>
      <c r="H104" s="94"/>
      <c r="I104" s="102" t="str">
        <f>"Total load on inserts ULS: =2x"&amp;J102&amp;"kN+2x"&amp;J103&amp;"kN="</f>
        <v>Total load on inserts ULS: =2x6,8kN+2x34,04kN=</v>
      </c>
      <c r="J104" s="146" t="str">
        <f>J102*2+J103*2&amp;"kN"</f>
        <v>81,68kN</v>
      </c>
      <c r="K104" s="104"/>
      <c r="L104" s="105"/>
      <c r="M104" s="4"/>
      <c r="Q104" s="5"/>
      <c r="R104" s="5"/>
      <c r="S104" s="5"/>
      <c r="T104" s="5"/>
      <c r="U104" s="5"/>
      <c r="V104" s="5"/>
      <c r="W104" s="5"/>
    </row>
    <row r="105" spans="2:23" ht="15" x14ac:dyDescent="0.2">
      <c r="B105" s="116"/>
      <c r="M105" s="4"/>
      <c r="Q105" s="5"/>
      <c r="R105" s="5"/>
      <c r="S105" s="5"/>
      <c r="T105" s="5"/>
      <c r="U105" s="5"/>
      <c r="V105" s="5"/>
      <c r="W105" s="5"/>
    </row>
    <row r="106" spans="2:23" ht="16.5" thickBot="1" x14ac:dyDescent="0.3">
      <c r="B106" s="93" t="s">
        <v>71</v>
      </c>
      <c r="C106" s="110"/>
      <c r="D106" s="110"/>
      <c r="E106" s="111"/>
      <c r="F106" s="112"/>
      <c r="G106" s="113"/>
      <c r="H106" s="114"/>
      <c r="I106" s="104"/>
      <c r="J106" s="104"/>
      <c r="K106" s="104"/>
      <c r="L106" s="104"/>
      <c r="M106" s="11"/>
      <c r="Q106" s="5"/>
      <c r="R106" s="5"/>
      <c r="S106" s="5"/>
      <c r="T106" s="5"/>
      <c r="U106" s="5"/>
      <c r="V106" s="5"/>
      <c r="W106" s="5"/>
    </row>
    <row r="107" spans="2:23" ht="15" x14ac:dyDescent="0.2">
      <c r="B107" s="8" t="s">
        <v>91</v>
      </c>
      <c r="C107" s="18"/>
      <c r="D107" s="18"/>
      <c r="E107" s="17"/>
      <c r="I107" s="6" t="str">
        <f>QTot.Landing.Deadload&amp;"kN /"&amp;QTot.Landing.ULS&amp;"kN   ∙ "&amp;FRearULSLanding &amp;"kN ="</f>
        <v>16,33kN /37,41kN   ∙ 9,35kN =</v>
      </c>
      <c r="J107" s="13">
        <f>ROUNDDOWN(QTot.Landing.Deadload/QTot.Landing.ULS*FRearULSLanding,2)</f>
        <v>4.08</v>
      </c>
      <c r="K107" s="23"/>
      <c r="L107" s="5"/>
      <c r="M107" s="11"/>
      <c r="Q107" s="5"/>
      <c r="R107" s="5"/>
      <c r="S107" s="5"/>
      <c r="T107" s="5"/>
      <c r="U107" s="5"/>
      <c r="V107" s="5"/>
      <c r="W107" s="5"/>
    </row>
    <row r="108" spans="2:23" ht="15" x14ac:dyDescent="0.2">
      <c r="B108" s="56" t="s">
        <v>117</v>
      </c>
      <c r="C108" s="53"/>
      <c r="D108" s="53"/>
      <c r="E108" s="53"/>
      <c r="G108" s="53"/>
      <c r="H108" s="53"/>
      <c r="I108" s="58" t="str">
        <f>" ="</f>
        <v xml:space="preserve"> =</v>
      </c>
      <c r="J108" s="67">
        <f>FRearULSFlight</f>
        <v>-2.5499999999999998</v>
      </c>
      <c r="K108" s="54"/>
      <c r="L108" s="54"/>
      <c r="M108" s="11"/>
      <c r="Q108" s="5"/>
      <c r="R108" s="5"/>
      <c r="S108" s="5"/>
      <c r="T108" s="5"/>
      <c r="U108" s="5"/>
      <c r="V108" s="5"/>
      <c r="W108" s="5"/>
    </row>
    <row r="109" spans="2:23" ht="16.5" thickBot="1" x14ac:dyDescent="0.3">
      <c r="B109" s="117" t="s">
        <v>53</v>
      </c>
      <c r="C109" s="118"/>
      <c r="D109" s="118"/>
      <c r="E109" s="119"/>
      <c r="F109" s="120"/>
      <c r="G109" s="121"/>
      <c r="H109" s="121"/>
      <c r="I109" s="121"/>
      <c r="J109" s="147">
        <f>SUM(J107:J108)</f>
        <v>1.5300000000000002</v>
      </c>
      <c r="K109" s="122" t="str">
        <f>IF(J109&lt;0,"Possible uplift at rear of landing","(No uplift)")</f>
        <v>(No uplift)</v>
      </c>
      <c r="L109" s="105"/>
      <c r="M109" s="106"/>
      <c r="Q109" s="5"/>
      <c r="R109" s="5"/>
      <c r="S109" s="5"/>
      <c r="T109" s="5"/>
      <c r="U109" s="5"/>
      <c r="V109" s="5"/>
      <c r="W109" s="5"/>
    </row>
    <row r="110" spans="2:23" ht="69" customHeight="1" thickBot="1" x14ac:dyDescent="0.25">
      <c r="B110" s="163" t="s">
        <v>63</v>
      </c>
      <c r="C110" s="164"/>
      <c r="D110" s="164"/>
      <c r="E110" s="164"/>
      <c r="F110" s="164"/>
      <c r="G110" s="164"/>
      <c r="H110" s="164"/>
      <c r="I110" s="164"/>
      <c r="J110" s="164"/>
      <c r="K110" s="164"/>
      <c r="L110" s="164"/>
      <c r="M110" s="165"/>
      <c r="Q110" s="5"/>
      <c r="R110" s="5"/>
      <c r="S110" s="5"/>
      <c r="T110" s="5"/>
      <c r="U110" s="5"/>
      <c r="V110" s="5"/>
      <c r="W110" s="5"/>
    </row>
    <row r="111" spans="2:23" ht="15.75" customHeight="1" x14ac:dyDescent="0.2">
      <c r="M111" s="154"/>
      <c r="Q111" s="5"/>
      <c r="R111" s="5"/>
      <c r="S111" s="5"/>
      <c r="T111" s="5"/>
      <c r="U111" s="5"/>
      <c r="V111" s="5"/>
      <c r="W111" s="5"/>
    </row>
    <row r="112" spans="2:23" ht="64.5" customHeight="1" x14ac:dyDescent="0.2">
      <c r="Q112" s="5"/>
      <c r="R112" s="5"/>
      <c r="S112" s="5"/>
      <c r="T112" s="5"/>
      <c r="U112" s="5"/>
      <c r="V112" s="5"/>
      <c r="W112" s="5"/>
    </row>
    <row r="113" spans="14:23" ht="15" x14ac:dyDescent="0.2">
      <c r="N113" s="5"/>
      <c r="O113" s="5"/>
      <c r="P113" s="5"/>
      <c r="Q113" s="5"/>
      <c r="R113" s="5"/>
      <c r="S113" s="5"/>
      <c r="T113" s="5"/>
      <c r="U113" s="5"/>
      <c r="V113" s="5"/>
      <c r="W113" s="5"/>
    </row>
    <row r="114" spans="14:23" ht="15" x14ac:dyDescent="0.2">
      <c r="N114" s="5"/>
      <c r="O114" s="5"/>
      <c r="P114" s="5"/>
      <c r="Q114" s="5"/>
      <c r="R114" s="5"/>
      <c r="S114" s="5"/>
      <c r="T114" s="5"/>
      <c r="U114" s="5"/>
      <c r="V114" s="5"/>
      <c r="W114" s="5"/>
    </row>
    <row r="115" spans="14:23" ht="15" x14ac:dyDescent="0.2">
      <c r="N115" s="5"/>
      <c r="O115" s="5"/>
      <c r="P115" s="5"/>
      <c r="Q115" s="5"/>
      <c r="R115" s="5"/>
      <c r="S115" s="5"/>
      <c r="T115" s="5"/>
      <c r="U115" s="5"/>
      <c r="V115" s="5"/>
      <c r="W115" s="5"/>
    </row>
    <row r="116" spans="14:23" ht="15" x14ac:dyDescent="0.2">
      <c r="N116" s="5"/>
      <c r="O116" s="5"/>
      <c r="P116" s="5"/>
      <c r="Q116" s="5"/>
      <c r="R116" s="5"/>
      <c r="S116" s="5"/>
      <c r="T116" s="5"/>
      <c r="U116" s="5"/>
      <c r="V116" s="5"/>
      <c r="W116" s="5"/>
    </row>
    <row r="117" spans="14:23" ht="15" x14ac:dyDescent="0.2">
      <c r="N117" s="5"/>
      <c r="O117" s="5"/>
      <c r="P117" s="5"/>
      <c r="Q117" s="5"/>
      <c r="R117" s="5"/>
      <c r="S117" s="5"/>
      <c r="T117" s="5"/>
      <c r="U117" s="5"/>
      <c r="V117" s="5"/>
      <c r="W117" s="5"/>
    </row>
    <row r="118" spans="14:23" ht="15" x14ac:dyDescent="0.2">
      <c r="N118" s="5"/>
      <c r="O118" s="5"/>
      <c r="P118" s="5"/>
      <c r="Q118" s="5"/>
      <c r="R118" s="5"/>
      <c r="S118" s="5"/>
      <c r="T118" s="5"/>
      <c r="U118" s="5"/>
      <c r="V118" s="5"/>
      <c r="W118" s="5"/>
    </row>
    <row r="119" spans="14:23" ht="15" x14ac:dyDescent="0.2">
      <c r="N119" s="5"/>
      <c r="O119" s="5"/>
      <c r="P119" s="5"/>
      <c r="Q119" s="5"/>
      <c r="R119" s="5"/>
      <c r="S119" s="5"/>
      <c r="T119" s="5"/>
      <c r="U119" s="5"/>
      <c r="V119" s="5"/>
      <c r="W119" s="5"/>
    </row>
    <row r="120" spans="14:23" ht="15" x14ac:dyDescent="0.2">
      <c r="N120" s="5"/>
      <c r="O120" s="5"/>
      <c r="P120" s="5"/>
      <c r="Q120" s="5"/>
      <c r="R120" s="5"/>
      <c r="S120" s="5"/>
      <c r="T120" s="5"/>
      <c r="U120" s="5"/>
      <c r="V120" s="5"/>
      <c r="W120" s="5"/>
    </row>
    <row r="121" spans="14:23" ht="15" x14ac:dyDescent="0.2">
      <c r="N121" s="5"/>
      <c r="O121" s="5"/>
      <c r="P121" s="5"/>
      <c r="Q121" s="5"/>
      <c r="R121" s="5"/>
      <c r="S121" s="5"/>
      <c r="T121" s="5"/>
      <c r="U121" s="5"/>
      <c r="V121" s="5"/>
      <c r="W121" s="5"/>
    </row>
    <row r="122" spans="14:23" ht="15" x14ac:dyDescent="0.2">
      <c r="N122" s="5"/>
      <c r="O122" s="5"/>
      <c r="P122" s="5"/>
      <c r="Q122" s="5"/>
      <c r="R122" s="5"/>
      <c r="S122" s="5"/>
      <c r="T122" s="5"/>
      <c r="U122" s="5"/>
      <c r="V122" s="5"/>
      <c r="W122" s="5"/>
    </row>
    <row r="123" spans="14:23" ht="15" x14ac:dyDescent="0.2">
      <c r="N123" s="5"/>
      <c r="O123" s="5"/>
      <c r="P123" s="5"/>
      <c r="Q123" s="5"/>
      <c r="R123" s="5"/>
      <c r="S123" s="5"/>
      <c r="T123" s="5"/>
      <c r="U123" s="5"/>
      <c r="V123" s="5"/>
      <c r="W123" s="5"/>
    </row>
    <row r="124" spans="14:23" ht="15" x14ac:dyDescent="0.2">
      <c r="N124" s="5"/>
      <c r="O124" s="5"/>
      <c r="P124" s="5"/>
      <c r="Q124" s="5"/>
      <c r="R124" s="5"/>
      <c r="S124" s="5"/>
      <c r="T124" s="5"/>
      <c r="U124" s="5"/>
      <c r="V124" s="5"/>
      <c r="W124" s="5"/>
    </row>
    <row r="125" spans="14:23" ht="15" x14ac:dyDescent="0.2">
      <c r="N125" s="5"/>
      <c r="O125" s="5"/>
      <c r="P125" s="5"/>
      <c r="Q125" s="5"/>
      <c r="R125" s="5"/>
      <c r="S125" s="5"/>
      <c r="T125" s="5"/>
      <c r="U125" s="5"/>
      <c r="V125" s="5"/>
      <c r="W125" s="5"/>
    </row>
    <row r="126" spans="14:23" ht="15" x14ac:dyDescent="0.2">
      <c r="N126" s="5"/>
      <c r="O126" s="5"/>
      <c r="P126" s="5"/>
      <c r="Q126" s="5"/>
      <c r="R126" s="5"/>
      <c r="S126" s="5"/>
      <c r="T126" s="5"/>
      <c r="U126" s="5"/>
      <c r="V126" s="5"/>
      <c r="W126" s="5"/>
    </row>
    <row r="127" spans="14:23" ht="15" x14ac:dyDescent="0.2">
      <c r="N127" s="5"/>
      <c r="O127" s="5"/>
      <c r="P127" s="5"/>
      <c r="Q127" s="5"/>
      <c r="R127" s="5"/>
      <c r="S127" s="5"/>
      <c r="T127" s="5"/>
      <c r="U127" s="5"/>
      <c r="V127" s="5"/>
      <c r="W127" s="5"/>
    </row>
    <row r="128" spans="14:23" ht="15" x14ac:dyDescent="0.2">
      <c r="N128" s="5"/>
      <c r="O128" s="5"/>
      <c r="P128" s="5"/>
      <c r="Q128" s="5"/>
      <c r="R128" s="5"/>
      <c r="S128" s="5"/>
      <c r="T128" s="5"/>
      <c r="U128" s="5"/>
      <c r="V128" s="5"/>
      <c r="W128" s="5"/>
    </row>
    <row r="129" spans="14:23" ht="15" x14ac:dyDescent="0.2">
      <c r="N129" s="5"/>
      <c r="O129" s="5"/>
      <c r="P129" s="5"/>
      <c r="Q129" s="5"/>
      <c r="R129" s="5"/>
      <c r="S129" s="5"/>
      <c r="T129" s="5"/>
      <c r="U129" s="5"/>
      <c r="V129" s="5"/>
      <c r="W129" s="5"/>
    </row>
    <row r="130" spans="14:23" ht="15" x14ac:dyDescent="0.2">
      <c r="N130" s="5"/>
      <c r="O130" s="5"/>
      <c r="P130" s="5"/>
      <c r="Q130" s="5"/>
      <c r="R130" s="5"/>
      <c r="S130" s="5"/>
      <c r="T130" s="5"/>
      <c r="U130" s="5"/>
      <c r="V130" s="5"/>
      <c r="W130" s="5"/>
    </row>
    <row r="131" spans="14:23" ht="15" x14ac:dyDescent="0.2">
      <c r="N131" s="5"/>
      <c r="O131" s="5"/>
      <c r="P131" s="5"/>
      <c r="Q131" s="5"/>
      <c r="R131" s="5"/>
      <c r="S131" s="5"/>
      <c r="T131" s="5"/>
      <c r="U131" s="5"/>
      <c r="V131" s="5"/>
      <c r="W131" s="5"/>
    </row>
    <row r="132" spans="14:23" ht="15" x14ac:dyDescent="0.2">
      <c r="N132" s="5"/>
      <c r="O132" s="5"/>
      <c r="P132" s="5"/>
      <c r="Q132" s="5"/>
      <c r="R132" s="5"/>
      <c r="S132" s="5"/>
      <c r="T132" s="5"/>
      <c r="U132" s="5"/>
      <c r="V132" s="5"/>
      <c r="W132" s="5"/>
    </row>
    <row r="133" spans="14:23" ht="15" x14ac:dyDescent="0.2">
      <c r="N133" s="5"/>
      <c r="O133" s="5"/>
      <c r="P133" s="5"/>
      <c r="Q133" s="5"/>
      <c r="R133" s="5"/>
      <c r="S133" s="5"/>
      <c r="T133" s="5"/>
      <c r="U133" s="5"/>
      <c r="V133" s="5"/>
      <c r="W133" s="5"/>
    </row>
    <row r="134" spans="14:23" ht="15" x14ac:dyDescent="0.2">
      <c r="N134" s="5"/>
      <c r="O134" s="5"/>
      <c r="P134" s="5"/>
      <c r="Q134" s="5"/>
      <c r="R134" s="5"/>
      <c r="S134" s="5"/>
      <c r="T134" s="5"/>
      <c r="U134" s="5"/>
      <c r="V134" s="5"/>
      <c r="W134" s="5"/>
    </row>
    <row r="135" spans="14:23" ht="15" x14ac:dyDescent="0.2">
      <c r="O135" s="5"/>
      <c r="P135" s="5"/>
      <c r="Q135" s="5"/>
      <c r="R135" s="5"/>
      <c r="S135" s="5"/>
      <c r="T135" s="5"/>
      <c r="U135" s="5"/>
      <c r="V135" s="5"/>
      <c r="W135" s="5"/>
    </row>
    <row r="136" spans="14:23" ht="61.5" customHeight="1" x14ac:dyDescent="0.2"/>
  </sheetData>
  <sheetProtection algorithmName="SHA-512" hashValue="Tuc3uK7gmi1eZo0lkpNuCyR6Q1zIaHKl1v9XlXxwUO7e+3yB18kuO1v4cDrieZU66fK/3nInMnXbaqr3+RYOLA==" saltValue="2IaOXoiEQRI6KcJy33iJDw==" spinCount="100000" sheet="1" objects="1" scenarios="1" selectLockedCells="1"/>
  <mergeCells count="15">
    <mergeCell ref="B110:M110"/>
    <mergeCell ref="C2:J2"/>
    <mergeCell ref="C3:J3"/>
    <mergeCell ref="C4:J4"/>
    <mergeCell ref="B6:M6"/>
    <mergeCell ref="L7:M7"/>
    <mergeCell ref="F5:J5"/>
    <mergeCell ref="B62:M62"/>
    <mergeCell ref="J38:L39"/>
    <mergeCell ref="B40:M40"/>
    <mergeCell ref="H42:L42"/>
    <mergeCell ref="F35:G35"/>
    <mergeCell ref="J94:K94"/>
    <mergeCell ref="B47:D47"/>
    <mergeCell ref="C5:D5"/>
  </mergeCells>
  <phoneticPr fontId="23" type="noConversion"/>
  <pageMargins left="0.23622047244094491" right="0.23622047244094491" top="0.74803149606299213" bottom="0.74803149606299213" header="0.31496062992125984" footer="0.31496062992125984"/>
  <pageSetup paperSize="9" scale="41" fitToHeight="0"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54BC8-549B-45A1-8D42-D2AE982039AF}">
  <sheetPr>
    <pageSetUpPr fitToPage="1"/>
  </sheetPr>
  <dimension ref="B9:G16"/>
  <sheetViews>
    <sheetView workbookViewId="0">
      <selection activeCell="I13" sqref="I13"/>
    </sheetView>
  </sheetViews>
  <sheetFormatPr baseColWidth="10" defaultColWidth="11.42578125" defaultRowHeight="12.75" x14ac:dyDescent="0.2"/>
  <cols>
    <col min="1" max="1" width="2" customWidth="1"/>
    <col min="2" max="3" width="15.7109375" customWidth="1"/>
    <col min="4" max="4" width="26.140625" bestFit="1" customWidth="1"/>
    <col min="5" max="7" width="55.7109375" customWidth="1"/>
    <col min="8" max="8" width="15.7109375" customWidth="1"/>
    <col min="9" max="9" width="35.7109375" customWidth="1"/>
    <col min="10" max="10" width="15.7109375" customWidth="1"/>
    <col min="11" max="11" width="35.7109375" customWidth="1"/>
    <col min="12" max="12" width="2.28515625" customWidth="1"/>
  </cols>
  <sheetData>
    <row r="9" spans="2:7" ht="15" x14ac:dyDescent="0.2">
      <c r="B9" s="155" t="s">
        <v>138</v>
      </c>
      <c r="C9" s="155" t="s">
        <v>137</v>
      </c>
      <c r="D9" s="157" t="s">
        <v>136</v>
      </c>
      <c r="E9" s="157" t="s">
        <v>133</v>
      </c>
      <c r="F9" s="157" t="s">
        <v>139</v>
      </c>
      <c r="G9" s="156" t="s">
        <v>134</v>
      </c>
    </row>
    <row r="10" spans="2:7" s="43" customFormat="1" ht="84.95" customHeight="1" x14ac:dyDescent="0.2">
      <c r="B10" s="158" t="s">
        <v>123</v>
      </c>
      <c r="C10" s="159">
        <v>41754</v>
      </c>
      <c r="D10" s="160" t="s">
        <v>124</v>
      </c>
      <c r="E10" s="160"/>
      <c r="F10" s="160"/>
      <c r="G10" s="160"/>
    </row>
    <row r="11" spans="2:7" s="43" customFormat="1" ht="84.95" customHeight="1" x14ac:dyDescent="0.2">
      <c r="B11" s="158" t="s">
        <v>125</v>
      </c>
      <c r="C11" s="159">
        <v>43419</v>
      </c>
      <c r="D11" s="160"/>
      <c r="E11" s="160"/>
      <c r="F11" s="160"/>
      <c r="G11" s="160"/>
    </row>
    <row r="12" spans="2:7" s="43" customFormat="1" ht="84.95" customHeight="1" x14ac:dyDescent="0.2">
      <c r="B12" s="158" t="s">
        <v>126</v>
      </c>
      <c r="C12" s="159">
        <v>43959</v>
      </c>
      <c r="D12" s="160" t="s">
        <v>130</v>
      </c>
      <c r="E12" s="160"/>
      <c r="F12" s="160"/>
      <c r="G12" s="160"/>
    </row>
    <row r="13" spans="2:7" s="43" customFormat="1" ht="84.95" customHeight="1" x14ac:dyDescent="0.2">
      <c r="B13" s="158" t="s">
        <v>129</v>
      </c>
      <c r="C13" s="159">
        <v>44102</v>
      </c>
      <c r="D13" s="160" t="s">
        <v>131</v>
      </c>
      <c r="E13" s="160"/>
      <c r="F13" s="160"/>
      <c r="G13" s="160"/>
    </row>
    <row r="14" spans="2:7" s="43" customFormat="1" ht="84.95" customHeight="1" x14ac:dyDescent="0.2">
      <c r="B14" s="158" t="s">
        <v>127</v>
      </c>
      <c r="C14" s="159">
        <v>44596</v>
      </c>
      <c r="D14" s="160" t="s">
        <v>128</v>
      </c>
      <c r="E14" s="160"/>
      <c r="F14" s="160"/>
      <c r="G14" s="160"/>
    </row>
    <row r="15" spans="2:7" s="43" customFormat="1" ht="84.95" customHeight="1" x14ac:dyDescent="0.2">
      <c r="B15" s="158" t="s">
        <v>132</v>
      </c>
      <c r="C15" s="159">
        <v>44748</v>
      </c>
      <c r="D15" s="160" t="s">
        <v>135</v>
      </c>
      <c r="E15" s="160"/>
      <c r="F15" s="160"/>
      <c r="G15" s="160"/>
    </row>
    <row r="16" spans="2:7" ht="85.5" customHeight="1" x14ac:dyDescent="0.2">
      <c r="B16" s="161" t="s">
        <v>142</v>
      </c>
      <c r="C16" s="159">
        <v>45712</v>
      </c>
      <c r="D16" s="162" t="s">
        <v>143</v>
      </c>
      <c r="E16" s="160"/>
      <c r="F16" s="160"/>
      <c r="G16" s="160"/>
    </row>
  </sheetData>
  <sheetProtection algorithmName="SHA-512" hashValue="D5lOEYLpyB/kI/mDo1Kss0PlrmpVObRjvQTKcXZDlZnV34CKqgcsH1WXOMvczTtiD3X8/pX+pSsOUSQf3dKZyA==" saltValue="R/mmwnZy5NNKpvJr5dWh7A==" spinCount="100000" sheet="1" objects="1" scenarios="1" selectLockedCells="1" selectUnlockedCells="1"/>
  <phoneticPr fontId="23" type="noConversion"/>
  <pageMargins left="0.7" right="0.7" top="0.75" bottom="0.75" header="0.3" footer="0.3"/>
  <pageSetup paperSize="9" scale="2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C859F-9160-46C8-B760-15C15175489F}">
  <dimension ref="L3:AA147"/>
  <sheetViews>
    <sheetView workbookViewId="0">
      <selection activeCell="G51" sqref="G51"/>
    </sheetView>
  </sheetViews>
  <sheetFormatPr baseColWidth="10" defaultColWidth="9.140625" defaultRowHeight="12.75" x14ac:dyDescent="0.2"/>
  <sheetData>
    <row r="3" spans="14:14" x14ac:dyDescent="0.2">
      <c r="N3" s="37"/>
    </row>
    <row r="63" spans="12:26" x14ac:dyDescent="0.2">
      <c r="L63" t="s">
        <v>38</v>
      </c>
      <c r="N63" s="37"/>
      <c r="O63" t="s">
        <v>39</v>
      </c>
      <c r="R63" t="s">
        <v>40</v>
      </c>
      <c r="W63" t="s">
        <v>38</v>
      </c>
      <c r="Y63" s="37"/>
      <c r="Z63" t="s">
        <v>39</v>
      </c>
    </row>
    <row r="64" spans="12:26" x14ac:dyDescent="0.2">
      <c r="L64" t="s">
        <v>36</v>
      </c>
      <c r="M64" t="s">
        <v>37</v>
      </c>
      <c r="N64" s="37"/>
      <c r="R64" s="37" t="s">
        <v>36</v>
      </c>
      <c r="S64" s="37" t="s">
        <v>37</v>
      </c>
      <c r="W64" t="s">
        <v>36</v>
      </c>
      <c r="X64" t="s">
        <v>37</v>
      </c>
      <c r="Y64" s="37"/>
    </row>
    <row r="65" spans="12:27" x14ac:dyDescent="0.2">
      <c r="L65">
        <v>0</v>
      </c>
      <c r="M65">
        <v>0</v>
      </c>
      <c r="N65" s="37"/>
      <c r="O65">
        <v>-150</v>
      </c>
      <c r="P65">
        <v>-60</v>
      </c>
      <c r="R65">
        <f>-200+L86/2</f>
        <v>1550</v>
      </c>
      <c r="S65">
        <f>M87/2</f>
        <v>-906.5</v>
      </c>
      <c r="W65">
        <v>0</v>
      </c>
      <c r="X65">
        <v>0</v>
      </c>
      <c r="Y65" s="37"/>
      <c r="Z65">
        <v>-150</v>
      </c>
      <c r="AA65">
        <v>100</v>
      </c>
    </row>
    <row r="66" spans="12:27" x14ac:dyDescent="0.2">
      <c r="L66">
        <v>350</v>
      </c>
      <c r="M66">
        <v>0</v>
      </c>
      <c r="N66" s="37"/>
      <c r="O66">
        <v>-150</v>
      </c>
      <c r="P66">
        <v>-120</v>
      </c>
      <c r="R66">
        <f>200+L86/2</f>
        <v>1950</v>
      </c>
      <c r="S66">
        <f>M88/2</f>
        <v>-906.5</v>
      </c>
      <c r="W66">
        <v>350</v>
      </c>
      <c r="X66">
        <v>0</v>
      </c>
      <c r="Y66" s="37"/>
      <c r="Z66">
        <v>-150</v>
      </c>
      <c r="AA66">
        <v>200</v>
      </c>
    </row>
    <row r="67" spans="12:27" x14ac:dyDescent="0.2">
      <c r="L67">
        <v>350</v>
      </c>
      <c r="M67">
        <f t="shared" ref="M67:M86" si="0">M65-163</f>
        <v>-163</v>
      </c>
      <c r="N67" s="37"/>
      <c r="O67">
        <v>150</v>
      </c>
      <c r="P67" s="37">
        <v>-120</v>
      </c>
      <c r="W67">
        <f t="shared" ref="W67:W75" si="1">W66+300</f>
        <v>650</v>
      </c>
      <c r="X67">
        <v>0</v>
      </c>
      <c r="Y67" s="37"/>
      <c r="Z67">
        <v>150</v>
      </c>
      <c r="AA67" s="37">
        <v>200</v>
      </c>
    </row>
    <row r="68" spans="12:27" x14ac:dyDescent="0.2">
      <c r="L68">
        <f t="shared" ref="L68:L85" si="2">L66+300</f>
        <v>650</v>
      </c>
      <c r="M68">
        <f t="shared" si="0"/>
        <v>-163</v>
      </c>
      <c r="N68" s="37"/>
      <c r="O68">
        <v>150</v>
      </c>
      <c r="P68" s="37">
        <v>-60</v>
      </c>
      <c r="W68">
        <f t="shared" si="1"/>
        <v>950</v>
      </c>
      <c r="X68">
        <v>0</v>
      </c>
      <c r="Y68" s="37"/>
      <c r="Z68">
        <v>150</v>
      </c>
      <c r="AA68" s="37">
        <v>100</v>
      </c>
    </row>
    <row r="69" spans="12:27" x14ac:dyDescent="0.2">
      <c r="L69">
        <f t="shared" si="2"/>
        <v>650</v>
      </c>
      <c r="M69">
        <f t="shared" si="0"/>
        <v>-326</v>
      </c>
      <c r="N69" s="37"/>
      <c r="O69">
        <v>-150</v>
      </c>
      <c r="P69" s="37">
        <v>-60</v>
      </c>
      <c r="R69">
        <f>-200+L86/2</f>
        <v>1550</v>
      </c>
      <c r="S69">
        <f>(M93+M94)/2</f>
        <v>-3200</v>
      </c>
      <c r="W69">
        <f t="shared" si="1"/>
        <v>1250</v>
      </c>
      <c r="X69">
        <v>0</v>
      </c>
      <c r="Y69" s="37"/>
      <c r="Z69">
        <v>-150</v>
      </c>
      <c r="AA69" s="37">
        <v>100</v>
      </c>
    </row>
    <row r="70" spans="12:27" x14ac:dyDescent="0.2">
      <c r="L70">
        <f t="shared" si="2"/>
        <v>950</v>
      </c>
      <c r="M70">
        <f t="shared" si="0"/>
        <v>-326</v>
      </c>
      <c r="N70" s="37"/>
      <c r="P70" s="37"/>
      <c r="R70">
        <f>200+L86/2</f>
        <v>1950</v>
      </c>
      <c r="S70">
        <f>(M93+M94)/2</f>
        <v>-3200</v>
      </c>
      <c r="W70">
        <f t="shared" si="1"/>
        <v>1550</v>
      </c>
      <c r="X70">
        <v>0</v>
      </c>
      <c r="Y70" s="37"/>
      <c r="AA70" s="37"/>
    </row>
    <row r="71" spans="12:27" x14ac:dyDescent="0.2">
      <c r="L71">
        <f t="shared" si="2"/>
        <v>950</v>
      </c>
      <c r="M71">
        <f t="shared" si="0"/>
        <v>-489</v>
      </c>
      <c r="N71" s="37"/>
      <c r="W71">
        <f t="shared" si="1"/>
        <v>1850</v>
      </c>
      <c r="X71">
        <v>0</v>
      </c>
      <c r="Y71" s="37"/>
      <c r="Z71">
        <v>-150</v>
      </c>
      <c r="AA71">
        <v>1200</v>
      </c>
    </row>
    <row r="72" spans="12:27" x14ac:dyDescent="0.2">
      <c r="L72">
        <f t="shared" si="2"/>
        <v>1250</v>
      </c>
      <c r="M72">
        <f t="shared" si="0"/>
        <v>-489</v>
      </c>
      <c r="N72" s="37"/>
      <c r="O72">
        <v>3300</v>
      </c>
      <c r="P72">
        <v>-1770</v>
      </c>
      <c r="W72">
        <f t="shared" si="1"/>
        <v>2150</v>
      </c>
      <c r="X72">
        <v>0</v>
      </c>
      <c r="Y72" s="37"/>
      <c r="Z72">
        <v>-150</v>
      </c>
      <c r="AA72">
        <v>1300</v>
      </c>
    </row>
    <row r="73" spans="12:27" x14ac:dyDescent="0.2">
      <c r="L73">
        <f t="shared" si="2"/>
        <v>1250</v>
      </c>
      <c r="M73">
        <f t="shared" si="0"/>
        <v>-652</v>
      </c>
      <c r="N73" s="37"/>
      <c r="O73">
        <v>3400</v>
      </c>
      <c r="P73">
        <v>-1770</v>
      </c>
      <c r="R73">
        <v>3350</v>
      </c>
      <c r="S73">
        <v>-1850</v>
      </c>
      <c r="W73">
        <f t="shared" si="1"/>
        <v>2450</v>
      </c>
      <c r="X73">
        <v>0</v>
      </c>
      <c r="Y73" s="37"/>
      <c r="Z73">
        <v>150</v>
      </c>
      <c r="AA73" s="37">
        <v>1300</v>
      </c>
    </row>
    <row r="74" spans="12:27" x14ac:dyDescent="0.2">
      <c r="L74">
        <f t="shared" si="2"/>
        <v>1550</v>
      </c>
      <c r="M74">
        <f t="shared" si="0"/>
        <v>-652</v>
      </c>
      <c r="N74" s="37"/>
      <c r="O74" s="37">
        <v>3400</v>
      </c>
      <c r="P74" s="37">
        <v>-1830</v>
      </c>
      <c r="R74">
        <v>3350</v>
      </c>
      <c r="S74">
        <v>-2050</v>
      </c>
      <c r="W74">
        <f t="shared" si="1"/>
        <v>2750</v>
      </c>
      <c r="X74">
        <v>0</v>
      </c>
      <c r="Y74" s="37"/>
      <c r="Z74">
        <v>150</v>
      </c>
      <c r="AA74" s="37">
        <v>1200</v>
      </c>
    </row>
    <row r="75" spans="12:27" x14ac:dyDescent="0.2">
      <c r="L75">
        <f t="shared" si="2"/>
        <v>1550</v>
      </c>
      <c r="M75">
        <f t="shared" si="0"/>
        <v>-815</v>
      </c>
      <c r="N75" s="37"/>
      <c r="O75" s="37">
        <v>3300</v>
      </c>
      <c r="P75" s="37">
        <v>-1830</v>
      </c>
      <c r="W75">
        <f t="shared" si="1"/>
        <v>3050</v>
      </c>
      <c r="X75">
        <v>0</v>
      </c>
      <c r="Y75" s="37"/>
      <c r="Z75">
        <v>-150</v>
      </c>
      <c r="AA75" s="37">
        <v>1200</v>
      </c>
    </row>
    <row r="76" spans="12:27" x14ac:dyDescent="0.2">
      <c r="L76">
        <f t="shared" si="2"/>
        <v>1850</v>
      </c>
      <c r="M76">
        <f t="shared" si="0"/>
        <v>-815</v>
      </c>
      <c r="N76" s="37"/>
      <c r="O76" s="37">
        <v>3300</v>
      </c>
      <c r="P76">
        <v>-1770</v>
      </c>
      <c r="R76">
        <f>-200+L86/2</f>
        <v>1550</v>
      </c>
      <c r="S76">
        <f>M87/2</f>
        <v>-906.5</v>
      </c>
      <c r="W76">
        <v>3500</v>
      </c>
      <c r="X76">
        <v>0</v>
      </c>
      <c r="Y76" s="37"/>
      <c r="AA76" s="37"/>
    </row>
    <row r="77" spans="12:27" x14ac:dyDescent="0.2">
      <c r="L77">
        <f t="shared" si="2"/>
        <v>1850</v>
      </c>
      <c r="M77">
        <f t="shared" si="0"/>
        <v>-978</v>
      </c>
      <c r="R77">
        <f>-200+L86/2</f>
        <v>1550</v>
      </c>
      <c r="S77">
        <f>S76-400</f>
        <v>-1306.5</v>
      </c>
      <c r="W77">
        <f>W76</f>
        <v>3500</v>
      </c>
      <c r="X77">
        <v>1400</v>
      </c>
    </row>
    <row r="78" spans="12:27" x14ac:dyDescent="0.2">
      <c r="L78">
        <f t="shared" si="2"/>
        <v>2150</v>
      </c>
      <c r="M78">
        <f t="shared" si="0"/>
        <v>-978</v>
      </c>
      <c r="W78">
        <f>W75</f>
        <v>3050</v>
      </c>
      <c r="X78">
        <v>1400</v>
      </c>
      <c r="Z78">
        <v>3300</v>
      </c>
      <c r="AA78">
        <v>100</v>
      </c>
    </row>
    <row r="79" spans="12:27" x14ac:dyDescent="0.2">
      <c r="L79">
        <f t="shared" si="2"/>
        <v>2150</v>
      </c>
      <c r="M79">
        <f t="shared" si="0"/>
        <v>-1141</v>
      </c>
      <c r="O79">
        <v>-150</v>
      </c>
      <c r="P79">
        <f>AA65-3900</f>
        <v>-3800</v>
      </c>
      <c r="W79">
        <f t="shared" ref="W79:W87" si="3">W78-300</f>
        <v>2750</v>
      </c>
      <c r="X79">
        <v>1400</v>
      </c>
      <c r="Z79">
        <v>3400</v>
      </c>
      <c r="AA79">
        <v>100</v>
      </c>
    </row>
    <row r="80" spans="12:27" x14ac:dyDescent="0.2">
      <c r="L80">
        <f t="shared" si="2"/>
        <v>2450</v>
      </c>
      <c r="M80">
        <f t="shared" si="0"/>
        <v>-1141</v>
      </c>
      <c r="O80">
        <v>-150</v>
      </c>
      <c r="P80">
        <f>AA66-3900</f>
        <v>-3700</v>
      </c>
      <c r="R80">
        <v>1550</v>
      </c>
      <c r="S80">
        <v>-3200</v>
      </c>
      <c r="W80">
        <f t="shared" si="3"/>
        <v>2450</v>
      </c>
      <c r="X80">
        <v>1400</v>
      </c>
      <c r="Z80" s="37">
        <v>3400</v>
      </c>
      <c r="AA80">
        <v>200</v>
      </c>
    </row>
    <row r="81" spans="12:27" x14ac:dyDescent="0.2">
      <c r="L81">
        <f t="shared" si="2"/>
        <v>2450</v>
      </c>
      <c r="M81">
        <f t="shared" si="0"/>
        <v>-1304</v>
      </c>
      <c r="O81">
        <v>150</v>
      </c>
      <c r="P81">
        <f>AA67-3900</f>
        <v>-3700</v>
      </c>
      <c r="W81">
        <f t="shared" si="3"/>
        <v>2150</v>
      </c>
      <c r="X81">
        <v>1400</v>
      </c>
      <c r="Z81" s="37">
        <v>3300</v>
      </c>
      <c r="AA81">
        <v>200</v>
      </c>
    </row>
    <row r="82" spans="12:27" x14ac:dyDescent="0.2">
      <c r="L82">
        <f t="shared" si="2"/>
        <v>2750</v>
      </c>
      <c r="M82">
        <f t="shared" si="0"/>
        <v>-1304</v>
      </c>
      <c r="N82" s="37"/>
      <c r="O82">
        <v>150</v>
      </c>
      <c r="P82">
        <f>AA68-3900</f>
        <v>-3800</v>
      </c>
      <c r="R82">
        <v>3750</v>
      </c>
      <c r="S82">
        <v>-1830</v>
      </c>
      <c r="W82">
        <f t="shared" si="3"/>
        <v>1850</v>
      </c>
      <c r="X82">
        <v>1400</v>
      </c>
      <c r="Y82" s="37"/>
      <c r="Z82" s="37">
        <v>3300</v>
      </c>
      <c r="AA82">
        <v>100</v>
      </c>
    </row>
    <row r="83" spans="12:27" x14ac:dyDescent="0.2">
      <c r="L83">
        <f t="shared" si="2"/>
        <v>2750</v>
      </c>
      <c r="M83">
        <f t="shared" si="0"/>
        <v>-1467</v>
      </c>
      <c r="N83" s="37"/>
      <c r="O83">
        <v>-150</v>
      </c>
      <c r="P83">
        <f>AA69-3900</f>
        <v>-3800</v>
      </c>
      <c r="R83">
        <v>3750</v>
      </c>
      <c r="S83">
        <v>-2030</v>
      </c>
      <c r="W83">
        <f t="shared" si="3"/>
        <v>1550</v>
      </c>
      <c r="X83">
        <v>1400</v>
      </c>
      <c r="Y83" s="37"/>
      <c r="AA83" s="37"/>
    </row>
    <row r="84" spans="12:27" x14ac:dyDescent="0.2">
      <c r="L84">
        <f t="shared" si="2"/>
        <v>3050</v>
      </c>
      <c r="M84">
        <f t="shared" si="0"/>
        <v>-1467</v>
      </c>
      <c r="N84" s="37"/>
      <c r="S84" s="37"/>
      <c r="W84">
        <f t="shared" si="3"/>
        <v>1250</v>
      </c>
      <c r="X84">
        <v>1400</v>
      </c>
      <c r="Y84" s="37"/>
      <c r="AA84" s="37"/>
    </row>
    <row r="85" spans="12:27" x14ac:dyDescent="0.2">
      <c r="L85">
        <f t="shared" si="2"/>
        <v>3050</v>
      </c>
      <c r="M85">
        <f t="shared" si="0"/>
        <v>-1630</v>
      </c>
      <c r="O85">
        <v>-150</v>
      </c>
      <c r="P85">
        <f>AA71-3900</f>
        <v>-2700</v>
      </c>
      <c r="R85">
        <v>4850</v>
      </c>
      <c r="S85">
        <v>-1830</v>
      </c>
      <c r="W85">
        <f t="shared" si="3"/>
        <v>950</v>
      </c>
      <c r="X85">
        <v>1400</v>
      </c>
      <c r="Z85">
        <v>3300</v>
      </c>
      <c r="AA85">
        <v>1200</v>
      </c>
    </row>
    <row r="86" spans="12:27" x14ac:dyDescent="0.2">
      <c r="L86">
        <v>3500</v>
      </c>
      <c r="M86">
        <f t="shared" si="0"/>
        <v>-1630</v>
      </c>
      <c r="O86">
        <v>-150</v>
      </c>
      <c r="P86">
        <f>AA72-3900</f>
        <v>-2600</v>
      </c>
      <c r="R86">
        <v>4850</v>
      </c>
      <c r="S86">
        <v>-2030</v>
      </c>
      <c r="W86">
        <f t="shared" si="3"/>
        <v>650</v>
      </c>
      <c r="X86">
        <v>1400</v>
      </c>
      <c r="Z86">
        <v>3400</v>
      </c>
      <c r="AA86">
        <v>1200</v>
      </c>
    </row>
    <row r="87" spans="12:27" x14ac:dyDescent="0.2">
      <c r="L87">
        <v>3500</v>
      </c>
      <c r="M87">
        <f>M85-163-20</f>
        <v>-1813</v>
      </c>
      <c r="O87">
        <v>150</v>
      </c>
      <c r="P87">
        <f>AA73-3900</f>
        <v>-2600</v>
      </c>
      <c r="W87">
        <f t="shared" si="3"/>
        <v>350</v>
      </c>
      <c r="X87">
        <v>1400</v>
      </c>
      <c r="Z87" s="37">
        <v>3400</v>
      </c>
      <c r="AA87" s="37">
        <v>1300</v>
      </c>
    </row>
    <row r="88" spans="12:27" x14ac:dyDescent="0.2">
      <c r="L88">
        <v>3050</v>
      </c>
      <c r="M88">
        <f>M87</f>
        <v>-1813</v>
      </c>
      <c r="O88">
        <v>150</v>
      </c>
      <c r="P88">
        <f>AA74-3900</f>
        <v>-2700</v>
      </c>
      <c r="R88">
        <v>3750</v>
      </c>
      <c r="S88">
        <v>-120</v>
      </c>
      <c r="W88">
        <v>0</v>
      </c>
      <c r="X88">
        <v>1400</v>
      </c>
      <c r="Z88" s="37">
        <v>3300</v>
      </c>
      <c r="AA88" s="37">
        <v>1300</v>
      </c>
    </row>
    <row r="89" spans="12:27" x14ac:dyDescent="0.2">
      <c r="L89">
        <v>50</v>
      </c>
      <c r="M89">
        <v>-180</v>
      </c>
      <c r="O89">
        <v>-150</v>
      </c>
      <c r="P89">
        <f>AA75-3900</f>
        <v>-2700</v>
      </c>
      <c r="R89">
        <v>3750</v>
      </c>
      <c r="S89">
        <v>-320</v>
      </c>
      <c r="W89">
        <v>0</v>
      </c>
      <c r="X89">
        <v>0</v>
      </c>
      <c r="Z89" s="37">
        <v>3300</v>
      </c>
      <c r="AA89">
        <v>1200</v>
      </c>
    </row>
    <row r="90" spans="12:27" x14ac:dyDescent="0.2">
      <c r="L90">
        <v>0</v>
      </c>
      <c r="M90">
        <v>-180</v>
      </c>
      <c r="N90" s="50"/>
      <c r="S90" s="37"/>
      <c r="W90">
        <v>0</v>
      </c>
      <c r="X90">
        <v>1400</v>
      </c>
    </row>
    <row r="91" spans="12:27" x14ac:dyDescent="0.2">
      <c r="L91">
        <v>0</v>
      </c>
      <c r="M91">
        <v>0</v>
      </c>
      <c r="R91">
        <v>4850</v>
      </c>
      <c r="S91">
        <v>-120</v>
      </c>
      <c r="W91">
        <v>350</v>
      </c>
      <c r="X91">
        <v>1400</v>
      </c>
    </row>
    <row r="92" spans="12:27" x14ac:dyDescent="0.2">
      <c r="L92">
        <v>0</v>
      </c>
      <c r="M92">
        <f>X65-3900</f>
        <v>-3900</v>
      </c>
      <c r="O92">
        <v>3300</v>
      </c>
      <c r="P92">
        <f>AA78-3900</f>
        <v>-3800</v>
      </c>
      <c r="R92">
        <v>4850</v>
      </c>
      <c r="S92">
        <v>-320</v>
      </c>
      <c r="W92">
        <v>350</v>
      </c>
      <c r="X92">
        <v>0</v>
      </c>
    </row>
    <row r="93" spans="12:27" x14ac:dyDescent="0.2">
      <c r="L93">
        <v>3500</v>
      </c>
      <c r="M93">
        <f>X76-3900</f>
        <v>-3900</v>
      </c>
      <c r="O93">
        <v>3400</v>
      </c>
      <c r="P93">
        <f>AA79-3900</f>
        <v>-3800</v>
      </c>
      <c r="W93">
        <f t="shared" ref="W93:W107" si="4">W91+300</f>
        <v>650</v>
      </c>
      <c r="X93">
        <v>0</v>
      </c>
    </row>
    <row r="94" spans="12:27" x14ac:dyDescent="0.2">
      <c r="L94">
        <f>L93</f>
        <v>3500</v>
      </c>
      <c r="M94">
        <f>X77-3900</f>
        <v>-2500</v>
      </c>
      <c r="O94" s="37">
        <v>3400</v>
      </c>
      <c r="P94">
        <f>AA80-3900</f>
        <v>-3700</v>
      </c>
      <c r="R94">
        <v>-75</v>
      </c>
      <c r="S94">
        <v>-120</v>
      </c>
      <c r="W94">
        <f t="shared" si="4"/>
        <v>650</v>
      </c>
      <c r="X94">
        <v>1400</v>
      </c>
      <c r="AA94" s="37"/>
    </row>
    <row r="95" spans="12:27" x14ac:dyDescent="0.2">
      <c r="L95">
        <v>0</v>
      </c>
      <c r="M95">
        <f t="shared" ref="M95:M107" si="5">X88-3900</f>
        <v>-2500</v>
      </c>
      <c r="O95" s="37">
        <v>3300</v>
      </c>
      <c r="P95">
        <f>AA81-3900</f>
        <v>-3700</v>
      </c>
      <c r="R95">
        <v>-75</v>
      </c>
      <c r="S95">
        <v>-320</v>
      </c>
      <c r="W95">
        <f t="shared" si="4"/>
        <v>950</v>
      </c>
      <c r="X95">
        <v>1400</v>
      </c>
      <c r="Y95" s="37"/>
      <c r="AA95" s="37"/>
    </row>
    <row r="96" spans="12:27" x14ac:dyDescent="0.2">
      <c r="L96">
        <v>0</v>
      </c>
      <c r="M96">
        <f t="shared" si="5"/>
        <v>-3900</v>
      </c>
      <c r="O96" s="37">
        <v>3300</v>
      </c>
      <c r="P96">
        <f>AA82-3900</f>
        <v>-3800</v>
      </c>
      <c r="W96">
        <f t="shared" si="4"/>
        <v>950</v>
      </c>
      <c r="X96">
        <v>0</v>
      </c>
      <c r="Y96" s="37"/>
      <c r="AA96" s="37"/>
    </row>
    <row r="97" spans="12:27" x14ac:dyDescent="0.2">
      <c r="L97">
        <v>0</v>
      </c>
      <c r="M97">
        <f t="shared" si="5"/>
        <v>-2500</v>
      </c>
      <c r="R97">
        <v>-150</v>
      </c>
      <c r="S97">
        <v>-2650</v>
      </c>
      <c r="W97">
        <f t="shared" si="4"/>
        <v>1250</v>
      </c>
      <c r="X97">
        <v>0</v>
      </c>
      <c r="Y97" s="37"/>
      <c r="AA97" s="37"/>
    </row>
    <row r="98" spans="12:27" x14ac:dyDescent="0.2">
      <c r="L98">
        <v>350</v>
      </c>
      <c r="M98">
        <f t="shared" si="5"/>
        <v>-2500</v>
      </c>
      <c r="R98">
        <v>-350</v>
      </c>
      <c r="S98">
        <v>-2650</v>
      </c>
      <c r="W98">
        <f t="shared" si="4"/>
        <v>1250</v>
      </c>
      <c r="X98">
        <v>1400</v>
      </c>
      <c r="Y98" s="37"/>
      <c r="AA98" s="37"/>
    </row>
    <row r="99" spans="12:27" x14ac:dyDescent="0.2">
      <c r="L99">
        <v>350</v>
      </c>
      <c r="M99">
        <f t="shared" si="5"/>
        <v>-3900</v>
      </c>
      <c r="O99">
        <v>3300</v>
      </c>
      <c r="P99">
        <f>AA85-3900</f>
        <v>-2700</v>
      </c>
      <c r="W99">
        <f t="shared" si="4"/>
        <v>1550</v>
      </c>
      <c r="X99">
        <v>1400</v>
      </c>
      <c r="Y99" s="37"/>
      <c r="AA99" s="37"/>
    </row>
    <row r="100" spans="12:27" x14ac:dyDescent="0.2">
      <c r="L100">
        <f t="shared" ref="L100:L107" si="6">L98+300</f>
        <v>650</v>
      </c>
      <c r="M100">
        <f t="shared" si="5"/>
        <v>-3900</v>
      </c>
      <c r="O100">
        <v>3400</v>
      </c>
      <c r="P100">
        <f>AA86-3900</f>
        <v>-2700</v>
      </c>
      <c r="R100">
        <v>-150</v>
      </c>
      <c r="S100">
        <v>-3750</v>
      </c>
      <c r="W100">
        <f t="shared" si="4"/>
        <v>1550</v>
      </c>
      <c r="X100">
        <v>0</v>
      </c>
      <c r="Y100" s="37"/>
      <c r="AA100" s="37"/>
    </row>
    <row r="101" spans="12:27" x14ac:dyDescent="0.2">
      <c r="L101">
        <f t="shared" si="6"/>
        <v>650</v>
      </c>
      <c r="M101">
        <f t="shared" si="5"/>
        <v>-2500</v>
      </c>
      <c r="O101" s="37">
        <v>3400</v>
      </c>
      <c r="P101">
        <f>AA87-3900</f>
        <v>-2600</v>
      </c>
      <c r="R101">
        <v>-350</v>
      </c>
      <c r="S101">
        <v>-3750</v>
      </c>
      <c r="W101">
        <f t="shared" si="4"/>
        <v>1850</v>
      </c>
      <c r="X101">
        <v>0</v>
      </c>
      <c r="Y101" s="37"/>
      <c r="AA101" s="37"/>
    </row>
    <row r="102" spans="12:27" x14ac:dyDescent="0.2">
      <c r="L102">
        <f t="shared" si="6"/>
        <v>950</v>
      </c>
      <c r="M102">
        <f t="shared" si="5"/>
        <v>-2500</v>
      </c>
      <c r="O102" s="37">
        <v>3300</v>
      </c>
      <c r="P102">
        <f>AA88-3900</f>
        <v>-2600</v>
      </c>
      <c r="W102">
        <f t="shared" si="4"/>
        <v>1850</v>
      </c>
      <c r="X102">
        <v>1400</v>
      </c>
      <c r="Y102" s="37"/>
      <c r="AA102" s="37"/>
    </row>
    <row r="103" spans="12:27" x14ac:dyDescent="0.2">
      <c r="L103">
        <f t="shared" si="6"/>
        <v>950</v>
      </c>
      <c r="M103">
        <f t="shared" si="5"/>
        <v>-3900</v>
      </c>
      <c r="O103" s="37">
        <v>3300</v>
      </c>
      <c r="P103">
        <f>AA89-3900</f>
        <v>-2700</v>
      </c>
      <c r="R103">
        <v>-150</v>
      </c>
      <c r="S103">
        <v>-90</v>
      </c>
      <c r="W103">
        <f t="shared" si="4"/>
        <v>2150</v>
      </c>
      <c r="X103">
        <v>1400</v>
      </c>
      <c r="Y103" s="37"/>
    </row>
    <row r="104" spans="12:27" x14ac:dyDescent="0.2">
      <c r="L104">
        <f t="shared" si="6"/>
        <v>1250</v>
      </c>
      <c r="M104">
        <f t="shared" si="5"/>
        <v>-3900</v>
      </c>
      <c r="R104">
        <v>-350</v>
      </c>
      <c r="S104">
        <v>-90</v>
      </c>
      <c r="W104">
        <f t="shared" si="4"/>
        <v>2150</v>
      </c>
      <c r="X104">
        <v>0</v>
      </c>
    </row>
    <row r="105" spans="12:27" x14ac:dyDescent="0.2">
      <c r="L105">
        <f t="shared" si="6"/>
        <v>1250</v>
      </c>
      <c r="M105">
        <f t="shared" si="5"/>
        <v>-2500</v>
      </c>
      <c r="W105">
        <f t="shared" si="4"/>
        <v>2450</v>
      </c>
      <c r="X105">
        <v>0</v>
      </c>
    </row>
    <row r="106" spans="12:27" x14ac:dyDescent="0.2">
      <c r="L106">
        <f t="shared" si="6"/>
        <v>1550</v>
      </c>
      <c r="M106">
        <f t="shared" si="5"/>
        <v>-2500</v>
      </c>
      <c r="O106">
        <v>3700</v>
      </c>
      <c r="P106">
        <v>-60</v>
      </c>
      <c r="R106">
        <v>3700</v>
      </c>
      <c r="S106">
        <v>-90</v>
      </c>
      <c r="W106">
        <f t="shared" si="4"/>
        <v>2450</v>
      </c>
      <c r="X106">
        <v>1400</v>
      </c>
    </row>
    <row r="107" spans="12:27" x14ac:dyDescent="0.2">
      <c r="L107">
        <f t="shared" si="6"/>
        <v>1550</v>
      </c>
      <c r="M107">
        <f t="shared" si="5"/>
        <v>-3900</v>
      </c>
      <c r="O107">
        <v>3700</v>
      </c>
      <c r="P107">
        <v>-120</v>
      </c>
      <c r="R107">
        <v>3500</v>
      </c>
      <c r="S107">
        <v>-90</v>
      </c>
      <c r="W107">
        <f t="shared" si="4"/>
        <v>2750</v>
      </c>
      <c r="X107">
        <v>1400</v>
      </c>
    </row>
    <row r="109" spans="12:27" x14ac:dyDescent="0.2">
      <c r="L109">
        <f>L106+300</f>
        <v>1850</v>
      </c>
      <c r="M109">
        <f t="shared" ref="M109:M115" si="7">X101-3900</f>
        <v>-3900</v>
      </c>
      <c r="O109">
        <v>3800</v>
      </c>
      <c r="P109" s="37">
        <v>-120</v>
      </c>
      <c r="W109">
        <f>W106+300</f>
        <v>2750</v>
      </c>
      <c r="X109">
        <v>0</v>
      </c>
    </row>
    <row r="110" spans="12:27" x14ac:dyDescent="0.2">
      <c r="L110">
        <f>L107+300</f>
        <v>1850</v>
      </c>
      <c r="M110">
        <f t="shared" si="7"/>
        <v>-2500</v>
      </c>
      <c r="O110">
        <v>3800</v>
      </c>
      <c r="P110" s="37">
        <v>-60</v>
      </c>
      <c r="W110">
        <f>W107+300</f>
        <v>3050</v>
      </c>
      <c r="X110">
        <v>0</v>
      </c>
    </row>
    <row r="111" spans="12:27" x14ac:dyDescent="0.2">
      <c r="L111">
        <f t="shared" ref="L111:L118" si="8">L109+300</f>
        <v>2150</v>
      </c>
      <c r="M111">
        <f t="shared" si="7"/>
        <v>-2500</v>
      </c>
      <c r="O111">
        <v>3700</v>
      </c>
      <c r="P111" s="37">
        <v>-60</v>
      </c>
      <c r="R111">
        <v>4800</v>
      </c>
      <c r="S111">
        <v>-90</v>
      </c>
      <c r="W111">
        <f>W109+300</f>
        <v>3050</v>
      </c>
      <c r="X111">
        <v>1400</v>
      </c>
    </row>
    <row r="112" spans="12:27" x14ac:dyDescent="0.2">
      <c r="L112">
        <f t="shared" si="8"/>
        <v>2150</v>
      </c>
      <c r="M112">
        <f t="shared" si="7"/>
        <v>-3900</v>
      </c>
      <c r="P112" s="37"/>
      <c r="R112">
        <v>4600</v>
      </c>
      <c r="S112">
        <v>-90</v>
      </c>
    </row>
    <row r="113" spans="12:19" x14ac:dyDescent="0.2">
      <c r="L113">
        <f t="shared" si="8"/>
        <v>2450</v>
      </c>
      <c r="M113">
        <f t="shared" si="7"/>
        <v>-3900</v>
      </c>
    </row>
    <row r="114" spans="12:19" x14ac:dyDescent="0.2">
      <c r="L114">
        <f t="shared" si="8"/>
        <v>2450</v>
      </c>
      <c r="M114">
        <f t="shared" si="7"/>
        <v>-2500</v>
      </c>
      <c r="O114">
        <v>4800</v>
      </c>
      <c r="P114">
        <v>-1770</v>
      </c>
      <c r="R114">
        <v>1550</v>
      </c>
      <c r="S114">
        <v>-3200</v>
      </c>
    </row>
    <row r="115" spans="12:19" x14ac:dyDescent="0.2">
      <c r="L115">
        <f t="shared" si="8"/>
        <v>2750</v>
      </c>
      <c r="M115">
        <f t="shared" si="7"/>
        <v>-2500</v>
      </c>
      <c r="O115">
        <v>4900</v>
      </c>
      <c r="P115">
        <v>-1770</v>
      </c>
      <c r="R115">
        <v>1550</v>
      </c>
      <c r="S115">
        <v>-2800</v>
      </c>
    </row>
    <row r="116" spans="12:19" x14ac:dyDescent="0.2">
      <c r="L116">
        <f t="shared" si="8"/>
        <v>2750</v>
      </c>
      <c r="M116">
        <f>X109-3900</f>
        <v>-3900</v>
      </c>
      <c r="O116">
        <v>4900</v>
      </c>
      <c r="P116" s="37">
        <v>-1830</v>
      </c>
    </row>
    <row r="117" spans="12:19" x14ac:dyDescent="0.2">
      <c r="L117">
        <f t="shared" si="8"/>
        <v>3050</v>
      </c>
      <c r="M117">
        <f>X110-3900</f>
        <v>-3900</v>
      </c>
      <c r="O117">
        <v>4800</v>
      </c>
      <c r="P117" s="37">
        <v>-1830</v>
      </c>
    </row>
    <row r="118" spans="12:19" x14ac:dyDescent="0.2">
      <c r="L118">
        <f t="shared" si="8"/>
        <v>3050</v>
      </c>
      <c r="M118">
        <f>X111-3900</f>
        <v>-2500</v>
      </c>
      <c r="O118" s="37">
        <v>4800</v>
      </c>
      <c r="P118">
        <v>-1770</v>
      </c>
    </row>
    <row r="121" spans="12:19" x14ac:dyDescent="0.2">
      <c r="L121">
        <v>3600</v>
      </c>
      <c r="M121">
        <v>0</v>
      </c>
      <c r="O121">
        <v>4800</v>
      </c>
      <c r="P121">
        <v>-120</v>
      </c>
    </row>
    <row r="122" spans="12:19" x14ac:dyDescent="0.2">
      <c r="L122">
        <f>L121+1400</f>
        <v>5000</v>
      </c>
      <c r="M122">
        <f>M121</f>
        <v>0</v>
      </c>
      <c r="O122">
        <v>4900</v>
      </c>
      <c r="P122" s="37">
        <v>-120</v>
      </c>
    </row>
    <row r="123" spans="12:19" x14ac:dyDescent="0.2">
      <c r="L123">
        <f>L122</f>
        <v>5000</v>
      </c>
      <c r="M123">
        <f>M88</f>
        <v>-1813</v>
      </c>
      <c r="O123" s="37">
        <v>4900</v>
      </c>
      <c r="P123" s="37">
        <v>-60</v>
      </c>
    </row>
    <row r="124" spans="12:19" x14ac:dyDescent="0.2">
      <c r="L124">
        <f>L121</f>
        <v>3600</v>
      </c>
      <c r="M124">
        <f>M123</f>
        <v>-1813</v>
      </c>
      <c r="O124" s="37">
        <v>4800</v>
      </c>
      <c r="P124" s="37">
        <v>-60</v>
      </c>
    </row>
    <row r="125" spans="12:19" x14ac:dyDescent="0.2">
      <c r="L125">
        <f>L121</f>
        <v>3600</v>
      </c>
      <c r="M125">
        <f>M121</f>
        <v>0</v>
      </c>
      <c r="O125" s="37">
        <v>4800</v>
      </c>
      <c r="P125" s="37">
        <v>-120</v>
      </c>
    </row>
    <row r="126" spans="12:19" x14ac:dyDescent="0.2">
      <c r="L126">
        <v>3600</v>
      </c>
      <c r="M126">
        <v>-163</v>
      </c>
    </row>
    <row r="127" spans="12:19" x14ac:dyDescent="0.2">
      <c r="L127">
        <v>5000</v>
      </c>
      <c r="M127">
        <v>-163</v>
      </c>
      <c r="O127">
        <v>3700</v>
      </c>
      <c r="P127">
        <v>-1770</v>
      </c>
    </row>
    <row r="128" spans="12:19" x14ac:dyDescent="0.2">
      <c r="L128">
        <v>5000</v>
      </c>
      <c r="M128">
        <v>-326</v>
      </c>
      <c r="O128">
        <v>3800</v>
      </c>
      <c r="P128">
        <v>-1770</v>
      </c>
    </row>
    <row r="129" spans="12:16" x14ac:dyDescent="0.2">
      <c r="L129">
        <v>3600</v>
      </c>
      <c r="M129">
        <v>-326</v>
      </c>
      <c r="O129">
        <v>3800</v>
      </c>
      <c r="P129" s="37">
        <v>-1830</v>
      </c>
    </row>
    <row r="130" spans="12:16" x14ac:dyDescent="0.2">
      <c r="L130">
        <v>3600</v>
      </c>
      <c r="M130">
        <v>-489</v>
      </c>
      <c r="O130">
        <v>3700</v>
      </c>
      <c r="P130" s="37">
        <v>-1830</v>
      </c>
    </row>
    <row r="131" spans="12:16" x14ac:dyDescent="0.2">
      <c r="L131">
        <v>5000</v>
      </c>
      <c r="M131">
        <v>-489</v>
      </c>
      <c r="O131" s="37">
        <v>3700</v>
      </c>
      <c r="P131">
        <v>-1770</v>
      </c>
    </row>
    <row r="132" spans="12:16" x14ac:dyDescent="0.2">
      <c r="L132">
        <v>5000</v>
      </c>
      <c r="M132">
        <v>-652</v>
      </c>
    </row>
    <row r="133" spans="12:16" x14ac:dyDescent="0.2">
      <c r="L133">
        <f>L130</f>
        <v>3600</v>
      </c>
      <c r="M133">
        <v>-652</v>
      </c>
    </row>
    <row r="134" spans="12:16" x14ac:dyDescent="0.2">
      <c r="L134">
        <f>L130</f>
        <v>3600</v>
      </c>
      <c r="M134">
        <v>-815</v>
      </c>
    </row>
    <row r="135" spans="12:16" x14ac:dyDescent="0.2">
      <c r="L135">
        <v>5000</v>
      </c>
      <c r="M135">
        <v>-815</v>
      </c>
    </row>
    <row r="136" spans="12:16" x14ac:dyDescent="0.2">
      <c r="L136">
        <v>5000</v>
      </c>
      <c r="M136">
        <v>-978</v>
      </c>
    </row>
    <row r="137" spans="12:16" x14ac:dyDescent="0.2">
      <c r="L137">
        <v>3600</v>
      </c>
      <c r="M137">
        <v>-978</v>
      </c>
    </row>
    <row r="138" spans="12:16" x14ac:dyDescent="0.2">
      <c r="L138">
        <v>3600</v>
      </c>
      <c r="M138">
        <v>-1141</v>
      </c>
    </row>
    <row r="139" spans="12:16" x14ac:dyDescent="0.2">
      <c r="L139">
        <v>5000</v>
      </c>
      <c r="M139">
        <v>-1141</v>
      </c>
    </row>
    <row r="140" spans="12:16" x14ac:dyDescent="0.2">
      <c r="L140">
        <v>5000</v>
      </c>
      <c r="M140">
        <v>-1304</v>
      </c>
    </row>
    <row r="141" spans="12:16" x14ac:dyDescent="0.2">
      <c r="L141">
        <f>L138</f>
        <v>3600</v>
      </c>
      <c r="M141">
        <v>-1304</v>
      </c>
    </row>
    <row r="142" spans="12:16" x14ac:dyDescent="0.2">
      <c r="L142">
        <f>L138</f>
        <v>3600</v>
      </c>
      <c r="M142">
        <v>-1467</v>
      </c>
    </row>
    <row r="143" spans="12:16" x14ac:dyDescent="0.2">
      <c r="L143">
        <v>5000</v>
      </c>
      <c r="M143">
        <v>-1467</v>
      </c>
    </row>
    <row r="144" spans="12:16" x14ac:dyDescent="0.2">
      <c r="L144">
        <v>5000</v>
      </c>
      <c r="M144">
        <v>-1630</v>
      </c>
    </row>
    <row r="145" spans="12:13" x14ac:dyDescent="0.2">
      <c r="L145">
        <v>3600</v>
      </c>
      <c r="M145">
        <v>-1630</v>
      </c>
    </row>
    <row r="146" spans="12:13" x14ac:dyDescent="0.2">
      <c r="L146">
        <v>3600</v>
      </c>
      <c r="M146">
        <v>-1813</v>
      </c>
    </row>
    <row r="147" spans="12:13" x14ac:dyDescent="0.2">
      <c r="L147">
        <v>5000</v>
      </c>
      <c r="M147">
        <v>-1813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42</vt:i4>
      </vt:variant>
    </vt:vector>
  </HeadingPairs>
  <TitlesOfParts>
    <vt:vector size="45" baseType="lpstr">
      <vt:lpstr>Main sheet</vt:lpstr>
      <vt:lpstr>Revision history- Control</vt:lpstr>
      <vt:lpstr>Chart data</vt:lpstr>
      <vt:lpstr>A</vt:lpstr>
      <vt:lpstr>ad</vt:lpstr>
      <vt:lpstr>ay</vt:lpstr>
      <vt:lpstr>B</vt:lpstr>
      <vt:lpstr>Ce</vt:lpstr>
      <vt:lpstr>ConcreteDensity</vt:lpstr>
      <vt:lpstr>D</vt:lpstr>
      <vt:lpstr>Def</vt:lpstr>
      <vt:lpstr>DLfactorALS</vt:lpstr>
      <vt:lpstr>DLfactorULS</vt:lpstr>
      <vt:lpstr>E</vt:lpstr>
      <vt:lpstr>F</vt:lpstr>
      <vt:lpstr>FFrontULSFlight</vt:lpstr>
      <vt:lpstr>FFrontULSLanding</vt:lpstr>
      <vt:lpstr>FinishesFlight</vt:lpstr>
      <vt:lpstr>FinishesLanding</vt:lpstr>
      <vt:lpstr>FRearULSFlight</vt:lpstr>
      <vt:lpstr>FRearULSLanding</vt:lpstr>
      <vt:lpstr>G</vt:lpstr>
      <vt:lpstr>gv</vt:lpstr>
      <vt:lpstr>H</vt:lpstr>
      <vt:lpstr>Htot</vt:lpstr>
      <vt:lpstr>I</vt:lpstr>
      <vt:lpstr>J</vt:lpstr>
      <vt:lpstr>K</vt:lpstr>
      <vt:lpstr>LiveloadFlight</vt:lpstr>
      <vt:lpstr>LiveloadLanding</vt:lpstr>
      <vt:lpstr>LLfactorALS</vt:lpstr>
      <vt:lpstr>LLfactorULS</vt:lpstr>
      <vt:lpstr>N</vt:lpstr>
      <vt:lpstr>QTot.Flight.Deadload</vt:lpstr>
      <vt:lpstr>QTot.Flight.Liveload</vt:lpstr>
      <vt:lpstr>QTot.Flights.ULS</vt:lpstr>
      <vt:lpstr>QTot.Landing.Deadload</vt:lpstr>
      <vt:lpstr>QTot.Landing.Liveload</vt:lpstr>
      <vt:lpstr>QTot.Landing.ULS</vt:lpstr>
      <vt:lpstr>QTot.One.Flight.ULS</vt:lpstr>
      <vt:lpstr>Rmax.ULS</vt:lpstr>
      <vt:lpstr>TreadNo</vt:lpstr>
      <vt:lpstr>'Main sheet'!Utskriftsområde</vt:lpstr>
      <vt:lpstr>'Revision history- Control'!Utskriftsområde</vt:lpstr>
      <vt:lpstr>'Main sheet'!Utskriftstitler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Herman Maier</dc:creator>
  <cp:lastModifiedBy>Steinar S. Slettenes</cp:lastModifiedBy>
  <cp:lastPrinted>2022-08-23T06:54:20Z</cp:lastPrinted>
  <dcterms:created xsi:type="dcterms:W3CDTF">2001-03-11T10:45:36Z</dcterms:created>
  <dcterms:modified xsi:type="dcterms:W3CDTF">2025-02-24T09:22:42Z</dcterms:modified>
</cp:coreProperties>
</file>