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defaultThemeVersion="153222"/>
  <mc:AlternateContent xmlns:mc="http://schemas.openxmlformats.org/markup-compatibility/2006">
    <mc:Choice Requires="x15">
      <x15ac:absPath xmlns:x15ac="http://schemas.microsoft.com/office/spreadsheetml/2010/11/ac" url="S:\01_Kundar\SB-Produksjon\1.0 IC\5.0 BSF\5.2 BSF Nye enheter\BSF-felles\Regneark\Versjon 2.0\"/>
    </mc:Choice>
  </mc:AlternateContent>
  <bookViews>
    <workbookView xWindow="0" yWindow="0" windowWidth="25200" windowHeight="11985"/>
  </bookViews>
  <sheets>
    <sheet name="Input" sheetId="1" r:id="rId1"/>
    <sheet name="Table-Reinforcement" sheetId="4" r:id="rId2"/>
    <sheet name="Table-Concrete qualities" sheetId="2" r:id="rId3"/>
    <sheet name="Table-BSF-Units" sheetId="3" r:id="rId4"/>
  </sheets>
  <definedNames>
    <definedName name="a">Input!$C$29</definedName>
    <definedName name="alfa1">Input!$C$91</definedName>
    <definedName name="alfa2">Input!$C$92</definedName>
    <definedName name="alfa3">Input!$C$93</definedName>
    <definedName name="alfa4">Input!$C$94</definedName>
    <definedName name="alfa5">Input!$C$95</definedName>
    <definedName name="alfa6">Input!$C$96</definedName>
    <definedName name="alfaCC">Input!$C$43</definedName>
    <definedName name="alfaCT">Input!$C$44</definedName>
    <definedName name="alfaCW">Input!$C$116</definedName>
    <definedName name="AsFrontSelected">Input!$C$86</definedName>
    <definedName name="b">Input!$C$30</definedName>
    <definedName name="BSFData">'Table-BSF-Units'!$B$7:$AK$10</definedName>
    <definedName name="BSFUnits">'Table-BSF-Units'!$B$7:$B$10</definedName>
    <definedName name="bw">Input!$C$118</definedName>
    <definedName name="cc">Input!$C$52</definedName>
    <definedName name="ce">Input!$C$31</definedName>
    <definedName name="Concrete">'Table-Concrete qualities'!$A$6:$A$13</definedName>
    <definedName name="ConcreteValues">'Table-Concrete qualities'!$A$6:$F$13</definedName>
    <definedName name="d">Input!$C$51</definedName>
    <definedName name="e">Input!$C$34</definedName>
    <definedName name="EtaEn">Input!$C$59</definedName>
    <definedName name="EtaTo">Input!$C$60</definedName>
    <definedName name="fbd">Input!$C$67</definedName>
    <definedName name="fcd">Input!$C$65</definedName>
    <definedName name="fck">Input!$C$63</definedName>
    <definedName name="fctd">Input!$C$66</definedName>
    <definedName name="fctk005">Input!$C$64</definedName>
    <definedName name="FhEd">Input!$C$22</definedName>
    <definedName name="fsd">Input!$C$69</definedName>
    <definedName name="FvEd">Input!$C$21</definedName>
    <definedName name="fyk">Input!$C$54</definedName>
    <definedName name="gammaC">Input!$C$42</definedName>
    <definedName name="gammaS">Input!$C$45</definedName>
    <definedName name="h">Input!$C$49</definedName>
    <definedName name="hknife">Input!$C$35</definedName>
    <definedName name="hmin">Input!$C$32</definedName>
    <definedName name="lbd">Input!$C$99</definedName>
    <definedName name="lbreqd">Input!$C$98</definedName>
    <definedName name="nobBackType1">Input!$C$106</definedName>
    <definedName name="nobBackType2">Input!$C$108</definedName>
    <definedName name="nobFrontType1">Input!$C$85</definedName>
    <definedName name="Rvo">Input!$C$75</definedName>
    <definedName name="Rvu">Input!$C$76</definedName>
    <definedName name="SigmaAsfront">Input!$C$90</definedName>
    <definedName name="tknife">Input!$C$36</definedName>
    <definedName name="VRds">Input!$C$115</definedName>
    <definedName name="w">Input!$C$50</definedName>
    <definedName name="wmin">Input!$C$33</definedName>
    <definedName name="wrecessbox">Input!$C$37</definedName>
    <definedName name="xSpacing">Input!$C$55</definedName>
    <definedName name="YpsilonEn">Input!$C$117</definedName>
    <definedName name="z">Input!$C$119</definedName>
    <definedName name="ØbackType1">Input!$C$105</definedName>
    <definedName name="ØbackType2">Input!$C$107</definedName>
    <definedName name="ØfrontType1">Input!$C$84</definedName>
    <definedName name="Øhrsback">Input!$C$39</definedName>
    <definedName name="Øhrsfront">Input!$C$38</definedName>
    <definedName name="Ømain">Input!$C$56</definedName>
    <definedName name="ØmbSelected">Input!#REF!</definedName>
    <definedName name="ØmfMin">Input!$C$88</definedName>
    <definedName name="ØmfSelected">Input!$C$89</definedName>
    <definedName name="Østirrup">Input!$C$53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 l="1"/>
  <c r="C119" i="1"/>
  <c r="H93" i="1" l="1"/>
  <c r="H23" i="1"/>
  <c r="C109" i="1"/>
  <c r="C86" i="1"/>
  <c r="C69" i="1" l="1"/>
  <c r="N79" i="1"/>
  <c r="N78" i="1"/>
  <c r="C39" i="1"/>
  <c r="C38" i="1"/>
  <c r="P70" i="1" s="1"/>
  <c r="C37" i="1"/>
  <c r="C118" i="1" s="1"/>
  <c r="C36" i="1"/>
  <c r="C35" i="1"/>
  <c r="C34" i="1"/>
  <c r="C33" i="1"/>
  <c r="H50" i="1" s="1"/>
  <c r="C32" i="1"/>
  <c r="H49" i="1" s="1"/>
  <c r="C31" i="1"/>
  <c r="C30" i="1"/>
  <c r="C29" i="1"/>
  <c r="C28" i="1"/>
  <c r="C131" i="1" l="1"/>
  <c r="C133" i="1" s="1"/>
  <c r="C75" i="1"/>
  <c r="C90" i="1" s="1"/>
  <c r="C27" i="1"/>
  <c r="C64" i="1"/>
  <c r="C66" i="1" s="1"/>
  <c r="C67" i="1" s="1"/>
  <c r="C63" i="1"/>
  <c r="M117" i="1" s="1"/>
  <c r="C132" i="1" l="1"/>
  <c r="C115" i="1"/>
  <c r="C65" i="1"/>
  <c r="C126" i="1" s="1"/>
  <c r="C76" i="1"/>
  <c r="C134" i="1" s="1"/>
  <c r="C78" i="1"/>
  <c r="H86" i="1" s="1"/>
  <c r="H26" i="1"/>
  <c r="C22" i="1"/>
  <c r="C128" i="1" l="1"/>
  <c r="C122" i="1"/>
  <c r="C123" i="1" s="1"/>
  <c r="C127" i="1"/>
  <c r="C88" i="1"/>
  <c r="H89" i="1" s="1"/>
  <c r="C98" i="1"/>
  <c r="C79" i="1"/>
  <c r="H109" i="1" s="1"/>
  <c r="C111" i="1"/>
  <c r="H27" i="1"/>
  <c r="C100" i="1" l="1"/>
  <c r="C99" i="1"/>
  <c r="C101" i="1" s="1"/>
  <c r="C102" i="1"/>
</calcChain>
</file>

<file path=xl/sharedStrings.xml><?xml version="1.0" encoding="utf-8"?>
<sst xmlns="http://schemas.openxmlformats.org/spreadsheetml/2006/main" count="404" uniqueCount="200">
  <si>
    <t>C20/25</t>
  </si>
  <si>
    <t>C25/30</t>
  </si>
  <si>
    <t>C45/55</t>
  </si>
  <si>
    <t>C40/50</t>
  </si>
  <si>
    <t>C50/60</t>
  </si>
  <si>
    <t>C55/67</t>
  </si>
  <si>
    <t>[Mpa]</t>
  </si>
  <si>
    <t>[MPa]</t>
  </si>
  <si>
    <t>C30/37</t>
  </si>
  <si>
    <t>C35/45</t>
  </si>
  <si>
    <t>BSF 300</t>
  </si>
  <si>
    <t>BSF 225</t>
  </si>
  <si>
    <t>BSF 450</t>
  </si>
  <si>
    <t>BSF 700</t>
  </si>
  <si>
    <t>[kN]</t>
  </si>
  <si>
    <t>Concrete quality:</t>
  </si>
  <si>
    <t>[mm]</t>
  </si>
  <si>
    <t>[-]</t>
  </si>
  <si>
    <t>Type</t>
  </si>
  <si>
    <t>Type:</t>
  </si>
  <si>
    <t>Vertical ultimate limit load</t>
  </si>
  <si>
    <r>
      <t>F</t>
    </r>
    <r>
      <rPr>
        <vertAlign val="subscript"/>
        <sz val="11"/>
        <color theme="1"/>
        <rFont val="Calibri"/>
        <family val="2"/>
        <scheme val="minor"/>
      </rPr>
      <t>V,Rd=</t>
    </r>
  </si>
  <si>
    <r>
      <t>F</t>
    </r>
    <r>
      <rPr>
        <vertAlign val="subscript"/>
        <sz val="11"/>
        <color theme="1"/>
        <rFont val="Calibri"/>
        <family val="2"/>
        <scheme val="minor"/>
      </rPr>
      <t>H,Rd=</t>
    </r>
  </si>
  <si>
    <r>
      <t>Vertical ulitmate limit load F</t>
    </r>
    <r>
      <rPr>
        <vertAlign val="subscript"/>
        <sz val="11"/>
        <color theme="1"/>
        <rFont val="Calibri"/>
        <family val="2"/>
        <scheme val="minor"/>
      </rPr>
      <t>v,Ed</t>
    </r>
    <r>
      <rPr>
        <vertAlign val="subscript"/>
        <sz val="11"/>
        <color theme="1"/>
        <rFont val="Symbol"/>
        <family val="1"/>
        <charset val="2"/>
      </rPr>
      <t xml:space="preserve"> </t>
    </r>
    <r>
      <rPr>
        <sz val="11"/>
        <color theme="1"/>
        <rFont val="Symbol"/>
        <family val="1"/>
        <charset val="2"/>
      </rPr>
      <t>=</t>
    </r>
  </si>
  <si>
    <r>
      <t>Width of beam recess box w</t>
    </r>
    <r>
      <rPr>
        <vertAlign val="subscript"/>
        <sz val="11"/>
        <color theme="1"/>
        <rFont val="Calibri"/>
        <family val="2"/>
        <scheme val="minor"/>
      </rPr>
      <t>recessbox</t>
    </r>
    <r>
      <rPr>
        <sz val="11"/>
        <color theme="1"/>
        <rFont val="Calibri"/>
        <family val="2"/>
        <scheme val="minor"/>
      </rPr>
      <t>=</t>
    </r>
  </si>
  <si>
    <t xml:space="preserve"> Skew angle=</t>
  </si>
  <si>
    <t>Column no:</t>
  </si>
  <si>
    <t>N.A</t>
  </si>
  <si>
    <t>Skew - degrees</t>
  </si>
  <si>
    <r>
      <rPr>
        <sz val="11"/>
        <color theme="1"/>
        <rFont val="Symbol"/>
        <family val="1"/>
        <charset val="2"/>
      </rPr>
      <t>g</t>
    </r>
    <r>
      <rPr>
        <vertAlign val="subscript"/>
        <sz val="11"/>
        <color theme="1"/>
        <rFont val="Calibri"/>
        <family val="2"/>
        <scheme val="minor"/>
      </rPr>
      <t>c</t>
    </r>
    <r>
      <rPr>
        <sz val="11"/>
        <color theme="1"/>
        <rFont val="Calibri"/>
        <family val="2"/>
        <scheme val="minor"/>
      </rPr>
      <t>=</t>
    </r>
  </si>
  <si>
    <r>
      <rPr>
        <sz val="11"/>
        <color theme="1"/>
        <rFont val="Symbol"/>
        <family val="1"/>
        <charset val="2"/>
      </rPr>
      <t>a</t>
    </r>
    <r>
      <rPr>
        <vertAlign val="subscript"/>
        <sz val="11"/>
        <color theme="1"/>
        <rFont val="Calibri"/>
        <family val="2"/>
        <scheme val="minor"/>
      </rPr>
      <t>cc</t>
    </r>
    <r>
      <rPr>
        <sz val="11"/>
        <color theme="1"/>
        <rFont val="Calibri"/>
        <family val="2"/>
        <scheme val="minor"/>
      </rPr>
      <t>=</t>
    </r>
  </si>
  <si>
    <r>
      <rPr>
        <sz val="11"/>
        <color theme="1"/>
        <rFont val="Symbol"/>
        <family val="1"/>
        <charset val="2"/>
      </rPr>
      <t>a</t>
    </r>
    <r>
      <rPr>
        <vertAlign val="subscript"/>
        <sz val="11"/>
        <color theme="1"/>
        <rFont val="Calibri"/>
        <family val="2"/>
        <scheme val="minor"/>
      </rPr>
      <t>ct</t>
    </r>
    <r>
      <rPr>
        <sz val="11"/>
        <color theme="1"/>
        <rFont val="Calibri"/>
        <family val="2"/>
        <scheme val="minor"/>
      </rPr>
      <t>=</t>
    </r>
  </si>
  <si>
    <t>[degrees]</t>
  </si>
  <si>
    <r>
      <t>f</t>
    </r>
    <r>
      <rPr>
        <vertAlign val="subscript"/>
        <sz val="11"/>
        <color theme="1"/>
        <rFont val="Calibri"/>
        <family val="2"/>
        <scheme val="minor"/>
      </rPr>
      <t>cd</t>
    </r>
    <r>
      <rPr>
        <sz val="11"/>
        <color theme="1"/>
        <rFont val="Calibri"/>
        <family val="2"/>
        <scheme val="minor"/>
      </rPr>
      <t>=</t>
    </r>
  </si>
  <si>
    <r>
      <rPr>
        <sz val="11"/>
        <color theme="1"/>
        <rFont val="Symbol"/>
        <family val="1"/>
        <charset val="2"/>
      </rPr>
      <t>g</t>
    </r>
    <r>
      <rPr>
        <vertAlign val="subscript"/>
        <sz val="11"/>
        <color theme="1"/>
        <rFont val="Calibri"/>
        <family val="2"/>
        <scheme val="minor"/>
      </rPr>
      <t>s</t>
    </r>
    <r>
      <rPr>
        <sz val="11"/>
        <color theme="1"/>
        <rFont val="Calibri"/>
        <family val="2"/>
        <scheme val="minor"/>
      </rPr>
      <t>=</t>
    </r>
  </si>
  <si>
    <r>
      <t>f</t>
    </r>
    <r>
      <rPr>
        <vertAlign val="subscript"/>
        <sz val="11"/>
        <color theme="1"/>
        <rFont val="Calibri"/>
        <family val="2"/>
        <scheme val="minor"/>
      </rPr>
      <t>ck</t>
    </r>
    <r>
      <rPr>
        <sz val="11"/>
        <color theme="1"/>
        <rFont val="Calibri"/>
        <family val="2"/>
        <scheme val="minor"/>
      </rPr>
      <t>=</t>
    </r>
  </si>
  <si>
    <t>Beam height: h=</t>
  </si>
  <si>
    <t>Beam width: w=</t>
  </si>
  <si>
    <r>
      <t>f</t>
    </r>
    <r>
      <rPr>
        <vertAlign val="subscript"/>
        <sz val="11"/>
        <color theme="1"/>
        <rFont val="Calibri"/>
        <family val="2"/>
        <scheme val="minor"/>
      </rPr>
      <t>sd</t>
    </r>
    <r>
      <rPr>
        <sz val="11"/>
        <color theme="1"/>
        <rFont val="Calibri"/>
        <family val="2"/>
        <scheme val="minor"/>
      </rPr>
      <t>=</t>
    </r>
  </si>
  <si>
    <r>
      <t>f</t>
    </r>
    <r>
      <rPr>
        <vertAlign val="subscript"/>
        <sz val="11"/>
        <color theme="1"/>
        <rFont val="Calibri"/>
        <family val="2"/>
        <scheme val="minor"/>
      </rPr>
      <t>ctk,0,05</t>
    </r>
    <r>
      <rPr>
        <sz val="11"/>
        <color theme="1"/>
        <rFont val="Calibri"/>
        <family val="2"/>
        <scheme val="minor"/>
      </rPr>
      <t>=</t>
    </r>
  </si>
  <si>
    <t>From table</t>
  </si>
  <si>
    <t>Calculated</t>
  </si>
  <si>
    <t>Input</t>
  </si>
  <si>
    <t>Input - Concrete parameter</t>
  </si>
  <si>
    <t>Input - Reinforcement parameter</t>
  </si>
  <si>
    <t>Input, see Figure 1</t>
  </si>
  <si>
    <t>Concrete design values:</t>
  </si>
  <si>
    <t>Reinforcement design values:</t>
  </si>
  <si>
    <r>
      <t>Recommended minimum beam height: h</t>
    </r>
    <r>
      <rPr>
        <vertAlign val="subscript"/>
        <sz val="11"/>
        <color theme="1"/>
        <rFont val="Calibri"/>
        <family val="2"/>
        <scheme val="minor"/>
      </rPr>
      <t>min</t>
    </r>
    <r>
      <rPr>
        <sz val="11"/>
        <color theme="1"/>
        <rFont val="Calibri"/>
        <family val="2"/>
        <scheme val="minor"/>
      </rPr>
      <t xml:space="preserve"> =</t>
    </r>
  </si>
  <si>
    <r>
      <t>Recommended minimum beam width: w</t>
    </r>
    <r>
      <rPr>
        <vertAlign val="subscript"/>
        <sz val="11"/>
        <color theme="1"/>
        <rFont val="Calibri"/>
        <family val="2"/>
        <scheme val="minor"/>
      </rPr>
      <t>min</t>
    </r>
    <r>
      <rPr>
        <sz val="11"/>
        <color theme="1"/>
        <rFont val="Calibri"/>
        <family val="2"/>
        <scheme val="minor"/>
      </rPr>
      <t xml:space="preserve"> =</t>
    </r>
  </si>
  <si>
    <t>d=</t>
  </si>
  <si>
    <r>
      <t>Recommended h</t>
    </r>
    <r>
      <rPr>
        <b/>
        <vertAlign val="subscript"/>
        <sz val="11"/>
        <color theme="1"/>
        <rFont val="Calibri"/>
        <family val="2"/>
        <scheme val="minor"/>
      </rPr>
      <t>min</t>
    </r>
  </si>
  <si>
    <r>
      <t>Recommended w</t>
    </r>
    <r>
      <rPr>
        <b/>
        <vertAlign val="subscript"/>
        <sz val="11"/>
        <color theme="1"/>
        <rFont val="Calibri"/>
        <family val="2"/>
        <scheme val="minor"/>
      </rPr>
      <t>min</t>
    </r>
  </si>
  <si>
    <r>
      <t>h</t>
    </r>
    <r>
      <rPr>
        <b/>
        <vertAlign val="subscript"/>
        <sz val="11"/>
        <color theme="1"/>
        <rFont val="Calibri"/>
        <family val="2"/>
        <scheme val="minor"/>
      </rPr>
      <t>knife</t>
    </r>
  </si>
  <si>
    <r>
      <t>w</t>
    </r>
    <r>
      <rPr>
        <b/>
        <vertAlign val="subscript"/>
        <sz val="11"/>
        <color theme="1"/>
        <rFont val="Calibri"/>
        <family val="2"/>
        <scheme val="minor"/>
      </rPr>
      <t>recess box</t>
    </r>
  </si>
  <si>
    <r>
      <t>Diameter -half round steel at front Ø</t>
    </r>
    <r>
      <rPr>
        <vertAlign val="subscript"/>
        <sz val="11"/>
        <color theme="1"/>
        <rFont val="Calibri"/>
        <family val="2"/>
        <scheme val="minor"/>
      </rPr>
      <t>hrs-front</t>
    </r>
    <r>
      <rPr>
        <sz val="11"/>
        <color theme="1"/>
        <rFont val="Calibri"/>
        <family val="2"/>
        <scheme val="minor"/>
      </rPr>
      <t>=</t>
    </r>
  </si>
  <si>
    <r>
      <t>Diameter -half round steel at back Ø</t>
    </r>
    <r>
      <rPr>
        <vertAlign val="subscript"/>
        <sz val="11"/>
        <color theme="1"/>
        <rFont val="Calibri"/>
        <family val="2"/>
        <scheme val="minor"/>
      </rPr>
      <t>hrs-back</t>
    </r>
    <r>
      <rPr>
        <sz val="11"/>
        <color theme="1"/>
        <rFont val="Calibri"/>
        <family val="2"/>
        <scheme val="minor"/>
      </rPr>
      <t>=</t>
    </r>
  </si>
  <si>
    <r>
      <t>Ø</t>
    </r>
    <r>
      <rPr>
        <b/>
        <vertAlign val="subscript"/>
        <sz val="11"/>
        <color theme="1"/>
        <rFont val="Calibri"/>
        <family val="2"/>
        <scheme val="minor"/>
      </rPr>
      <t>hrs-front</t>
    </r>
  </si>
  <si>
    <r>
      <t>Ø</t>
    </r>
    <r>
      <rPr>
        <b/>
        <vertAlign val="subscript"/>
        <sz val="11"/>
        <color theme="1"/>
        <rFont val="Calibri"/>
        <family val="2"/>
        <scheme val="minor"/>
      </rPr>
      <t>hrs-back</t>
    </r>
  </si>
  <si>
    <t>Standard reinforcement</t>
  </si>
  <si>
    <t>At front</t>
  </si>
  <si>
    <t>At back</t>
  </si>
  <si>
    <t>Recommended e</t>
  </si>
  <si>
    <r>
      <t>t</t>
    </r>
    <r>
      <rPr>
        <b/>
        <vertAlign val="subscript"/>
        <sz val="11"/>
        <color theme="1"/>
        <rFont val="Calibri"/>
        <family val="2"/>
        <scheme val="minor"/>
      </rPr>
      <t>knife</t>
    </r>
  </si>
  <si>
    <r>
      <t>R</t>
    </r>
    <r>
      <rPr>
        <vertAlign val="subscript"/>
        <sz val="11"/>
        <color theme="1"/>
        <rFont val="Calibri"/>
        <family val="2"/>
        <scheme val="minor"/>
      </rPr>
      <t>VO</t>
    </r>
    <r>
      <rPr>
        <sz val="11"/>
        <color theme="1"/>
        <rFont val="Calibri"/>
        <family val="2"/>
        <scheme val="minor"/>
      </rPr>
      <t>=</t>
    </r>
  </si>
  <si>
    <r>
      <t>R</t>
    </r>
    <r>
      <rPr>
        <vertAlign val="subscript"/>
        <sz val="11"/>
        <color theme="1"/>
        <rFont val="Calibri"/>
        <family val="2"/>
        <scheme val="minor"/>
      </rPr>
      <t>VU</t>
    </r>
    <r>
      <rPr>
        <sz val="11"/>
        <color theme="1"/>
        <rFont val="Calibri"/>
        <family val="2"/>
        <scheme val="minor"/>
      </rPr>
      <t>=</t>
    </r>
  </si>
  <si>
    <r>
      <t>[mm</t>
    </r>
    <r>
      <rPr>
        <vertAlign val="superscript"/>
        <sz val="11"/>
        <color theme="1"/>
        <rFont val="Calibri"/>
        <family val="2"/>
        <scheme val="minor"/>
      </rPr>
      <t>2</t>
    </r>
    <r>
      <rPr>
        <sz val="11"/>
        <color theme="1"/>
        <rFont val="Calibri"/>
        <family val="2"/>
        <scheme val="minor"/>
      </rPr>
      <t>]</t>
    </r>
  </si>
  <si>
    <t>Diameter</t>
  </si>
  <si>
    <r>
      <t>3ø16 stirrups. A</t>
    </r>
    <r>
      <rPr>
        <vertAlign val="subscript"/>
        <sz val="11"/>
        <color theme="1"/>
        <rFont val="Calibri"/>
        <family val="2"/>
        <scheme val="minor"/>
      </rPr>
      <t>s</t>
    </r>
    <r>
      <rPr>
        <sz val="11"/>
        <color theme="1"/>
        <rFont val="Calibri"/>
        <family val="2"/>
        <scheme val="minor"/>
      </rPr>
      <t>=1206mm</t>
    </r>
    <r>
      <rPr>
        <vertAlign val="superscript"/>
        <sz val="11"/>
        <color theme="1"/>
        <rFont val="Calibri"/>
        <family val="2"/>
        <scheme val="minor"/>
      </rPr>
      <t>2</t>
    </r>
  </si>
  <si>
    <r>
      <t>2ø16 stirrups. A</t>
    </r>
    <r>
      <rPr>
        <vertAlign val="subscript"/>
        <sz val="11"/>
        <color theme="1"/>
        <rFont val="Calibri"/>
        <family val="2"/>
        <scheme val="minor"/>
      </rPr>
      <t>s</t>
    </r>
    <r>
      <rPr>
        <sz val="11"/>
        <color theme="1"/>
        <rFont val="Calibri"/>
        <family val="2"/>
        <scheme val="minor"/>
      </rPr>
      <t>=804mm</t>
    </r>
    <r>
      <rPr>
        <vertAlign val="superscript"/>
        <sz val="11"/>
        <color theme="1"/>
        <rFont val="Calibri"/>
        <family val="2"/>
        <scheme val="minor"/>
      </rPr>
      <t>2</t>
    </r>
  </si>
  <si>
    <r>
      <t>3ø25 stirrups. A</t>
    </r>
    <r>
      <rPr>
        <vertAlign val="subscript"/>
        <sz val="11"/>
        <color theme="1"/>
        <rFont val="Calibri"/>
        <family val="2"/>
        <scheme val="minor"/>
      </rPr>
      <t>s</t>
    </r>
    <r>
      <rPr>
        <sz val="11"/>
        <color theme="1"/>
        <rFont val="Calibri"/>
        <family val="2"/>
        <scheme val="minor"/>
      </rPr>
      <t>=2945mm</t>
    </r>
    <r>
      <rPr>
        <vertAlign val="superscript"/>
        <sz val="11"/>
        <color theme="1"/>
        <rFont val="Calibri"/>
        <family val="2"/>
        <scheme val="minor"/>
      </rPr>
      <t>2</t>
    </r>
  </si>
  <si>
    <r>
      <t>2ø10stirrups. A</t>
    </r>
    <r>
      <rPr>
        <vertAlign val="subscript"/>
        <sz val="11"/>
        <color theme="1"/>
        <rFont val="Calibri"/>
        <family val="2"/>
        <scheme val="minor"/>
      </rPr>
      <t>s</t>
    </r>
    <r>
      <rPr>
        <sz val="11"/>
        <color theme="1"/>
        <rFont val="Calibri"/>
        <family val="2"/>
        <scheme val="minor"/>
      </rPr>
      <t>=314mm</t>
    </r>
    <r>
      <rPr>
        <vertAlign val="superscript"/>
        <sz val="11"/>
        <color theme="1"/>
        <rFont val="Calibri"/>
        <family val="2"/>
        <scheme val="minor"/>
      </rPr>
      <t>2</t>
    </r>
  </si>
  <si>
    <r>
      <t>2ø12stirrups A</t>
    </r>
    <r>
      <rPr>
        <vertAlign val="subscript"/>
        <sz val="11"/>
        <color theme="1"/>
        <rFont val="Calibri"/>
        <family val="2"/>
        <scheme val="minor"/>
      </rPr>
      <t>s</t>
    </r>
    <r>
      <rPr>
        <sz val="11"/>
        <color theme="1"/>
        <rFont val="Calibri"/>
        <family val="2"/>
        <scheme val="minor"/>
      </rPr>
      <t>=452mm</t>
    </r>
    <r>
      <rPr>
        <vertAlign val="superscript"/>
        <sz val="11"/>
        <color theme="1"/>
        <rFont val="Calibri"/>
        <family val="2"/>
        <scheme val="minor"/>
      </rPr>
      <t>2</t>
    </r>
  </si>
  <si>
    <r>
      <t>2ø16stirrups. A</t>
    </r>
    <r>
      <rPr>
        <vertAlign val="subscript"/>
        <sz val="11"/>
        <color theme="1"/>
        <rFont val="Calibri"/>
        <family val="2"/>
        <scheme val="minor"/>
      </rPr>
      <t>s</t>
    </r>
    <r>
      <rPr>
        <sz val="11"/>
        <color theme="1"/>
        <rFont val="Calibri"/>
        <family val="2"/>
        <scheme val="minor"/>
      </rPr>
      <t>=804mm</t>
    </r>
    <r>
      <rPr>
        <vertAlign val="superscript"/>
        <sz val="11"/>
        <color theme="1"/>
        <rFont val="Calibri"/>
        <family val="2"/>
        <scheme val="minor"/>
      </rPr>
      <t>2</t>
    </r>
  </si>
  <si>
    <r>
      <t>2ø16stirrups+1ø12stirrup. A</t>
    </r>
    <r>
      <rPr>
        <vertAlign val="subscript"/>
        <sz val="11"/>
        <color theme="1"/>
        <rFont val="Calibri"/>
        <family val="2"/>
        <scheme val="minor"/>
      </rPr>
      <t>s</t>
    </r>
    <r>
      <rPr>
        <sz val="11"/>
        <color theme="1"/>
        <rFont val="Calibri"/>
        <family val="2"/>
        <scheme val="minor"/>
      </rPr>
      <t>=1030mm</t>
    </r>
    <r>
      <rPr>
        <vertAlign val="superscript"/>
        <sz val="11"/>
        <color theme="1"/>
        <rFont val="Calibri"/>
        <family val="2"/>
        <scheme val="minor"/>
      </rPr>
      <t>2</t>
    </r>
  </si>
  <si>
    <r>
      <t>4ø16 stirrups. A</t>
    </r>
    <r>
      <rPr>
        <vertAlign val="subscript"/>
        <sz val="11"/>
        <color theme="1"/>
        <rFont val="Calibri"/>
        <family val="2"/>
        <scheme val="minor"/>
      </rPr>
      <t>s</t>
    </r>
    <r>
      <rPr>
        <sz val="11"/>
        <color theme="1"/>
        <rFont val="Calibri"/>
        <family val="2"/>
        <scheme val="minor"/>
      </rPr>
      <t>=1608mm</t>
    </r>
    <r>
      <rPr>
        <vertAlign val="superscript"/>
        <sz val="11"/>
        <color theme="1"/>
        <rFont val="Calibri"/>
        <family val="2"/>
        <scheme val="minor"/>
      </rPr>
      <t>2</t>
    </r>
  </si>
  <si>
    <t>Equilibrium reaction forces and required anchoring reinforcement:</t>
  </si>
  <si>
    <r>
      <t>Minimum mandrel diameter: Ø</t>
    </r>
    <r>
      <rPr>
        <vertAlign val="subscript"/>
        <sz val="11"/>
        <color theme="1"/>
        <rFont val="Calibri"/>
        <family val="2"/>
        <scheme val="minor"/>
      </rPr>
      <t>mf,min</t>
    </r>
    <r>
      <rPr>
        <sz val="11"/>
        <color theme="1"/>
        <rFont val="Calibri"/>
        <family val="2"/>
        <scheme val="minor"/>
      </rPr>
      <t>=</t>
    </r>
  </si>
  <si>
    <r>
      <rPr>
        <sz val="11"/>
        <color theme="1"/>
        <rFont val="Symbol"/>
        <family val="1"/>
        <charset val="2"/>
      </rPr>
      <t>a</t>
    </r>
    <r>
      <rPr>
        <vertAlign val="subscript"/>
        <sz val="11"/>
        <color theme="1"/>
        <rFont val="Calibri"/>
        <family val="2"/>
        <scheme val="minor"/>
      </rPr>
      <t>1</t>
    </r>
    <r>
      <rPr>
        <sz val="11"/>
        <color theme="1"/>
        <rFont val="Calibri"/>
        <family val="2"/>
        <scheme val="minor"/>
      </rPr>
      <t>=</t>
    </r>
  </si>
  <si>
    <r>
      <rPr>
        <sz val="11"/>
        <color theme="1"/>
        <rFont val="Symbol"/>
        <family val="1"/>
        <charset val="2"/>
      </rPr>
      <t>a</t>
    </r>
    <r>
      <rPr>
        <vertAlign val="subscript"/>
        <sz val="11"/>
        <color theme="1"/>
        <rFont val="Calibri"/>
        <family val="2"/>
        <scheme val="minor"/>
      </rPr>
      <t>2</t>
    </r>
    <r>
      <rPr>
        <sz val="11"/>
        <color theme="1"/>
        <rFont val="Calibri"/>
        <family val="2"/>
        <scheme val="minor"/>
      </rPr>
      <t>=</t>
    </r>
  </si>
  <si>
    <r>
      <rPr>
        <sz val="11"/>
        <color theme="1"/>
        <rFont val="Symbol"/>
        <family val="1"/>
        <charset val="2"/>
      </rPr>
      <t>a</t>
    </r>
    <r>
      <rPr>
        <vertAlign val="subscript"/>
        <sz val="11"/>
        <color theme="1"/>
        <rFont val="Calibri"/>
        <family val="2"/>
        <scheme val="minor"/>
      </rPr>
      <t>3</t>
    </r>
    <r>
      <rPr>
        <sz val="11"/>
        <color theme="1"/>
        <rFont val="Calibri"/>
        <family val="2"/>
        <scheme val="minor"/>
      </rPr>
      <t>=</t>
    </r>
  </si>
  <si>
    <r>
      <rPr>
        <sz val="11"/>
        <color theme="1"/>
        <rFont val="Symbol"/>
        <family val="1"/>
        <charset val="2"/>
      </rPr>
      <t>a</t>
    </r>
    <r>
      <rPr>
        <vertAlign val="subscript"/>
        <sz val="11"/>
        <color theme="1"/>
        <rFont val="Calibri"/>
        <family val="2"/>
        <scheme val="minor"/>
      </rPr>
      <t>4</t>
    </r>
    <r>
      <rPr>
        <sz val="11"/>
        <color theme="1"/>
        <rFont val="Calibri"/>
        <family val="2"/>
        <scheme val="minor"/>
      </rPr>
      <t>=</t>
    </r>
  </si>
  <si>
    <r>
      <rPr>
        <sz val="11"/>
        <color theme="1"/>
        <rFont val="Symbol"/>
        <family val="1"/>
        <charset val="2"/>
      </rPr>
      <t>a</t>
    </r>
    <r>
      <rPr>
        <vertAlign val="subscript"/>
        <sz val="11"/>
        <color theme="1"/>
        <rFont val="Calibri"/>
        <family val="2"/>
        <scheme val="minor"/>
      </rPr>
      <t>5</t>
    </r>
    <r>
      <rPr>
        <sz val="11"/>
        <color theme="1"/>
        <rFont val="Calibri"/>
        <family val="2"/>
        <scheme val="minor"/>
      </rPr>
      <t>=</t>
    </r>
  </si>
  <si>
    <t>User selected anchoring reinforcment:</t>
  </si>
  <si>
    <t>Rear ancoring reinforcement:</t>
  </si>
  <si>
    <t>Front anchoring reinforcement:</t>
  </si>
  <si>
    <r>
      <t>f</t>
    </r>
    <r>
      <rPr>
        <vertAlign val="subscript"/>
        <sz val="11"/>
        <color theme="1"/>
        <rFont val="Calibri"/>
        <family val="2"/>
        <scheme val="minor"/>
      </rPr>
      <t>bd</t>
    </r>
    <r>
      <rPr>
        <sz val="11"/>
        <color theme="1"/>
        <rFont val="Calibri"/>
        <family val="2"/>
        <scheme val="minor"/>
      </rPr>
      <t>=</t>
    </r>
  </si>
  <si>
    <r>
      <rPr>
        <sz val="11"/>
        <color theme="1"/>
        <rFont val="Symbol"/>
        <family val="1"/>
        <charset val="2"/>
      </rPr>
      <t>h</t>
    </r>
    <r>
      <rPr>
        <vertAlign val="subscript"/>
        <sz val="11"/>
        <color theme="1"/>
        <rFont val="Calibri"/>
        <family val="2"/>
        <scheme val="minor"/>
      </rPr>
      <t>1</t>
    </r>
    <r>
      <rPr>
        <sz val="11"/>
        <color theme="1"/>
        <rFont val="Calibri"/>
        <family val="2"/>
        <scheme val="minor"/>
      </rPr>
      <t>=</t>
    </r>
  </si>
  <si>
    <r>
      <rPr>
        <sz val="11"/>
        <color theme="1"/>
        <rFont val="Symbol"/>
        <family val="1"/>
        <charset val="2"/>
      </rPr>
      <t>h</t>
    </r>
    <r>
      <rPr>
        <vertAlign val="subscript"/>
        <sz val="11"/>
        <color theme="1"/>
        <rFont val="Calibri"/>
        <family val="2"/>
        <scheme val="minor"/>
      </rPr>
      <t>2</t>
    </r>
    <r>
      <rPr>
        <sz val="11"/>
        <color theme="1"/>
        <rFont val="Calibri"/>
        <family val="2"/>
        <scheme val="minor"/>
      </rPr>
      <t>=</t>
    </r>
  </si>
  <si>
    <r>
      <t>f</t>
    </r>
    <r>
      <rPr>
        <vertAlign val="subscript"/>
        <sz val="11"/>
        <color theme="1"/>
        <rFont val="Calibri"/>
        <family val="2"/>
        <scheme val="minor"/>
      </rPr>
      <t>ctd</t>
    </r>
    <r>
      <rPr>
        <sz val="11"/>
        <color theme="1"/>
        <rFont val="Calibri"/>
        <family val="2"/>
        <scheme val="minor"/>
      </rPr>
      <t>=</t>
    </r>
  </si>
  <si>
    <t>Bond condtions  (Used in calculation of bond stress):</t>
  </si>
  <si>
    <r>
      <t xml:space="preserve">Steel stress in reinforcement: </t>
    </r>
    <r>
      <rPr>
        <sz val="11"/>
        <color theme="1"/>
        <rFont val="Symbol"/>
        <family val="1"/>
        <charset val="2"/>
      </rPr>
      <t>s</t>
    </r>
    <r>
      <rPr>
        <vertAlign val="subscript"/>
        <sz val="11"/>
        <color theme="1"/>
        <rFont val="Calibri"/>
        <family val="2"/>
        <scheme val="minor"/>
      </rPr>
      <t>As,front</t>
    </r>
    <r>
      <rPr>
        <sz val="11"/>
        <color theme="1"/>
        <rFont val="Calibri"/>
        <family val="2"/>
        <scheme val="minor"/>
      </rPr>
      <t>=</t>
    </r>
  </si>
  <si>
    <t>Input, see EC2 clause 8.4.3 and 8.4.4</t>
  </si>
  <si>
    <r>
      <rPr>
        <sz val="11"/>
        <color theme="1"/>
        <rFont val="Symbol"/>
        <family val="1"/>
        <charset val="2"/>
      </rPr>
      <t>a</t>
    </r>
    <r>
      <rPr>
        <vertAlign val="subscript"/>
        <sz val="11"/>
        <color theme="1"/>
        <rFont val="Calibri"/>
        <family val="2"/>
        <scheme val="minor"/>
      </rPr>
      <t>6</t>
    </r>
    <r>
      <rPr>
        <sz val="11"/>
        <color theme="1"/>
        <rFont val="Calibri"/>
        <family val="2"/>
        <scheme val="minor"/>
      </rPr>
      <t>=</t>
    </r>
  </si>
  <si>
    <r>
      <t>l</t>
    </r>
    <r>
      <rPr>
        <vertAlign val="subscript"/>
        <sz val="11"/>
        <color theme="1"/>
        <rFont val="Calibri"/>
        <family val="2"/>
        <scheme val="minor"/>
      </rPr>
      <t>b,reqd</t>
    </r>
    <r>
      <rPr>
        <sz val="11"/>
        <color theme="1"/>
        <rFont val="Calibri"/>
        <family val="2"/>
        <scheme val="minor"/>
      </rPr>
      <t xml:space="preserve"> =</t>
    </r>
  </si>
  <si>
    <r>
      <t>l</t>
    </r>
    <r>
      <rPr>
        <vertAlign val="subscript"/>
        <sz val="11"/>
        <color theme="1"/>
        <rFont val="Calibri"/>
        <family val="2"/>
        <scheme val="minor"/>
      </rPr>
      <t>bd</t>
    </r>
    <r>
      <rPr>
        <sz val="11"/>
        <color theme="1"/>
        <rFont val="Calibri"/>
        <family val="2"/>
        <scheme val="minor"/>
      </rPr>
      <t>=</t>
    </r>
  </si>
  <si>
    <r>
      <t>l</t>
    </r>
    <r>
      <rPr>
        <vertAlign val="subscript"/>
        <sz val="11"/>
        <color theme="1"/>
        <rFont val="Calibri"/>
        <family val="2"/>
        <scheme val="minor"/>
      </rPr>
      <t>0</t>
    </r>
    <r>
      <rPr>
        <sz val="11"/>
        <color theme="1"/>
        <rFont val="Calibri"/>
        <family val="2"/>
        <scheme val="minor"/>
      </rPr>
      <t>=</t>
    </r>
  </si>
  <si>
    <r>
      <t>l</t>
    </r>
    <r>
      <rPr>
        <vertAlign val="subscript"/>
        <sz val="11"/>
        <color theme="1"/>
        <rFont val="Calibri"/>
        <family val="2"/>
        <scheme val="minor"/>
      </rPr>
      <t>bd,min</t>
    </r>
    <r>
      <rPr>
        <sz val="11"/>
        <color theme="1"/>
        <rFont val="Calibri"/>
        <family val="2"/>
        <scheme val="minor"/>
      </rPr>
      <t>=</t>
    </r>
  </si>
  <si>
    <r>
      <t>l</t>
    </r>
    <r>
      <rPr>
        <vertAlign val="subscript"/>
        <sz val="11"/>
        <color theme="1"/>
        <rFont val="Calibri"/>
        <family val="2"/>
        <scheme val="minor"/>
      </rPr>
      <t>0,min</t>
    </r>
    <r>
      <rPr>
        <sz val="11"/>
        <color theme="1"/>
        <rFont val="Calibri"/>
        <family val="2"/>
        <scheme val="minor"/>
      </rPr>
      <t>=</t>
    </r>
  </si>
  <si>
    <r>
      <t>Required amount of shear stirrups in beam end: A</t>
    </r>
    <r>
      <rPr>
        <vertAlign val="subscript"/>
        <sz val="11"/>
        <color theme="1"/>
        <rFont val="Calibri"/>
        <family val="2"/>
        <scheme val="minor"/>
      </rPr>
      <t>s</t>
    </r>
    <r>
      <rPr>
        <sz val="11"/>
        <color theme="1"/>
        <rFont val="Calibri"/>
        <family val="2"/>
        <scheme val="minor"/>
      </rPr>
      <t>/s=</t>
    </r>
  </si>
  <si>
    <r>
      <t>With the specified dimeter of stirrups:  s</t>
    </r>
    <r>
      <rPr>
        <vertAlign val="subscript"/>
        <sz val="11"/>
        <color theme="1"/>
        <rFont val="Calibri"/>
        <family val="2"/>
        <scheme val="minor"/>
      </rPr>
      <t>max</t>
    </r>
    <r>
      <rPr>
        <sz val="11"/>
        <color theme="1"/>
        <rFont val="Calibri"/>
        <family val="2"/>
        <scheme val="minor"/>
      </rPr>
      <t>=</t>
    </r>
  </si>
  <si>
    <r>
      <t>[mm</t>
    </r>
    <r>
      <rPr>
        <vertAlign val="superscript"/>
        <sz val="11"/>
        <color theme="1"/>
        <rFont val="Calibri"/>
        <family val="2"/>
        <scheme val="minor"/>
      </rPr>
      <t>2</t>
    </r>
    <r>
      <rPr>
        <sz val="11"/>
        <color theme="1"/>
        <rFont val="Calibri"/>
        <family val="2"/>
        <scheme val="minor"/>
      </rPr>
      <t>/m]</t>
    </r>
  </si>
  <si>
    <r>
      <rPr>
        <sz val="11"/>
        <color theme="1"/>
        <rFont val="Symbol"/>
        <family val="1"/>
        <charset val="2"/>
      </rPr>
      <t>a</t>
    </r>
    <r>
      <rPr>
        <vertAlign val="subscript"/>
        <sz val="11"/>
        <color theme="1"/>
        <rFont val="Calibri"/>
        <family val="2"/>
        <scheme val="minor"/>
      </rPr>
      <t>cw</t>
    </r>
    <r>
      <rPr>
        <sz val="11"/>
        <color theme="1"/>
        <rFont val="Calibri"/>
        <family val="2"/>
        <scheme val="minor"/>
      </rPr>
      <t>=</t>
    </r>
  </si>
  <si>
    <r>
      <t>b</t>
    </r>
    <r>
      <rPr>
        <vertAlign val="subscript"/>
        <sz val="11"/>
        <color theme="1"/>
        <rFont val="Calibri"/>
        <family val="2"/>
        <scheme val="minor"/>
      </rPr>
      <t>w</t>
    </r>
    <r>
      <rPr>
        <sz val="11"/>
        <color theme="1"/>
        <rFont val="Calibri"/>
        <family val="2"/>
        <scheme val="minor"/>
      </rPr>
      <t>=</t>
    </r>
  </si>
  <si>
    <t>z=</t>
  </si>
  <si>
    <r>
      <rPr>
        <sz val="11"/>
        <color theme="1"/>
        <rFont val="Symbol"/>
        <family val="1"/>
        <charset val="2"/>
      </rPr>
      <t>u</t>
    </r>
    <r>
      <rPr>
        <vertAlign val="subscript"/>
        <sz val="11"/>
        <color theme="1"/>
        <rFont val="Calibri"/>
        <family val="2"/>
        <scheme val="minor"/>
      </rPr>
      <t>1</t>
    </r>
    <r>
      <rPr>
        <sz val="11"/>
        <color theme="1"/>
        <rFont val="Calibri"/>
        <family val="2"/>
        <scheme val="minor"/>
      </rPr>
      <t>=</t>
    </r>
  </si>
  <si>
    <t>Input. NDP, see EC2 clause 6.2.3</t>
  </si>
  <si>
    <r>
      <t>Shear force within central part of the beam unit V</t>
    </r>
    <r>
      <rPr>
        <vertAlign val="subscript"/>
        <sz val="11"/>
        <color theme="1"/>
        <rFont val="Calibri"/>
        <family val="2"/>
        <scheme val="minor"/>
      </rPr>
      <t>Rd,s</t>
    </r>
    <r>
      <rPr>
        <sz val="11"/>
        <color theme="1"/>
        <rFont val="Calibri"/>
        <family val="2"/>
        <scheme val="minor"/>
      </rPr>
      <t xml:space="preserve">: </t>
    </r>
  </si>
  <si>
    <t xml:space="preserve">[mm]. </t>
  </si>
  <si>
    <t>*Information: Assuming z=0,9d</t>
  </si>
  <si>
    <t>Shear reinforcement:</t>
  </si>
  <si>
    <t>Shear compression:</t>
  </si>
  <si>
    <t>*</t>
  </si>
  <si>
    <r>
      <t xml:space="preserve">*Information: EC2 recommended value for situation without pre-stress: </t>
    </r>
    <r>
      <rPr>
        <b/>
        <sz val="11"/>
        <color rgb="FF00B050"/>
        <rFont val="Symbol"/>
        <family val="1"/>
        <charset val="2"/>
      </rPr>
      <t>a</t>
    </r>
    <r>
      <rPr>
        <b/>
        <vertAlign val="subscript"/>
        <sz val="11"/>
        <color rgb="FF00B050"/>
        <rFont val="Calibri"/>
        <family val="2"/>
        <scheme val="minor"/>
      </rPr>
      <t>cw</t>
    </r>
    <r>
      <rPr>
        <b/>
        <sz val="11"/>
        <color rgb="FF00B050"/>
        <rFont val="Calibri"/>
        <family val="2"/>
        <scheme val="minor"/>
      </rPr>
      <t xml:space="preserve"> =1 </t>
    </r>
  </si>
  <si>
    <r>
      <t>Shear compression resistance in beam end: V</t>
    </r>
    <r>
      <rPr>
        <vertAlign val="subscript"/>
        <sz val="11"/>
        <color theme="1"/>
        <rFont val="Calibri"/>
        <family val="2"/>
        <scheme val="minor"/>
      </rPr>
      <t>Rd,max</t>
    </r>
    <r>
      <rPr>
        <sz val="11"/>
        <color theme="1"/>
        <rFont val="Calibri"/>
        <family val="2"/>
        <scheme val="minor"/>
      </rPr>
      <t>=</t>
    </r>
  </si>
  <si>
    <t>Blue numbers: User input.</t>
  </si>
  <si>
    <t xml:space="preserve">USER GUIDE: </t>
  </si>
  <si>
    <t>No of bars:</t>
  </si>
  <si>
    <t>No of bars type 1:</t>
  </si>
  <si>
    <r>
      <t>Required anchoring reinforcment at front A</t>
    </r>
    <r>
      <rPr>
        <vertAlign val="subscript"/>
        <sz val="11"/>
        <color theme="1"/>
        <rFont val="Calibri"/>
        <family val="2"/>
        <scheme val="minor"/>
      </rPr>
      <t xml:space="preserve">s-front,required </t>
    </r>
    <r>
      <rPr>
        <sz val="11"/>
        <color theme="1"/>
        <rFont val="Calibri"/>
        <family val="2"/>
        <scheme val="minor"/>
      </rPr>
      <t>=</t>
    </r>
  </si>
  <si>
    <r>
      <t>Required anchoring reinforcment at back A</t>
    </r>
    <r>
      <rPr>
        <vertAlign val="subscript"/>
        <sz val="11"/>
        <color theme="1"/>
        <rFont val="Calibri"/>
        <family val="2"/>
        <scheme val="minor"/>
      </rPr>
      <t xml:space="preserve">s-back,required </t>
    </r>
    <r>
      <rPr>
        <sz val="11"/>
        <color theme="1"/>
        <rFont val="Calibri"/>
        <family val="2"/>
        <scheme val="minor"/>
      </rPr>
      <t>=</t>
    </r>
  </si>
  <si>
    <t>From table, see Figure 1</t>
  </si>
  <si>
    <r>
      <t>Total amount of anchoring reinforcment at front: A</t>
    </r>
    <r>
      <rPr>
        <vertAlign val="subscript"/>
        <sz val="11"/>
        <color theme="1"/>
        <rFont val="Calibri"/>
        <family val="2"/>
        <scheme val="minor"/>
      </rPr>
      <t>s-front,selected</t>
    </r>
    <r>
      <rPr>
        <sz val="11"/>
        <color theme="1"/>
        <rFont val="Calibri"/>
        <family val="2"/>
        <scheme val="minor"/>
      </rPr>
      <t xml:space="preserve"> = </t>
    </r>
  </si>
  <si>
    <r>
      <t>Total amount of anchoring reinforcment at back: A</t>
    </r>
    <r>
      <rPr>
        <vertAlign val="subscript"/>
        <sz val="11"/>
        <color theme="1"/>
        <rFont val="Calibri"/>
        <family val="2"/>
        <scheme val="minor"/>
      </rPr>
      <t>s-back,selected</t>
    </r>
    <r>
      <rPr>
        <sz val="11"/>
        <color theme="1"/>
        <rFont val="Calibri"/>
        <family val="2"/>
        <scheme val="minor"/>
      </rPr>
      <t xml:space="preserve">= </t>
    </r>
  </si>
  <si>
    <t>Free spacing between reinforcement: x=</t>
  </si>
  <si>
    <r>
      <t>Reinforcement: f</t>
    </r>
    <r>
      <rPr>
        <vertAlign val="subscript"/>
        <sz val="11"/>
        <color theme="1"/>
        <rFont val="Calibri"/>
        <family val="2"/>
        <scheme val="minor"/>
      </rPr>
      <t>yk</t>
    </r>
    <r>
      <rPr>
        <sz val="11"/>
        <color theme="1"/>
        <rFont val="Calibri"/>
        <family val="2"/>
        <scheme val="minor"/>
      </rPr>
      <t>=</t>
    </r>
  </si>
  <si>
    <t>REINFORCEMENT</t>
  </si>
  <si>
    <r>
      <t>Diameter of main reinforcement:  Ø</t>
    </r>
    <r>
      <rPr>
        <vertAlign val="subscript"/>
        <sz val="11"/>
        <color theme="1"/>
        <rFont val="Calibri"/>
        <family val="2"/>
        <scheme val="minor"/>
      </rPr>
      <t>main</t>
    </r>
    <r>
      <rPr>
        <sz val="11"/>
        <color theme="1"/>
        <rFont val="Calibri"/>
        <family val="2"/>
        <scheme val="minor"/>
      </rPr>
      <t>=</t>
    </r>
  </si>
  <si>
    <t>LOAD:</t>
  </si>
  <si>
    <t>NATIONAL DEPENDENT PARAMETERS (NDPs):</t>
  </si>
  <si>
    <t>BEAM:</t>
  </si>
  <si>
    <t>CALCULATIONS ACCORDING TO Memo 521: Chapters 2.2 and 2.3 Equilibrium and anchoring reinforcement:</t>
  </si>
  <si>
    <t>CALCULATIONS ACCORDING TO Memo 521: Chapter 2.5: Calucation of beam end reinforcement:</t>
  </si>
  <si>
    <r>
      <t>2</t>
    </r>
    <r>
      <rPr>
        <sz val="11"/>
        <color rgb="FF00B050"/>
        <rFont val="Calibri"/>
        <family val="2"/>
        <scheme val="minor"/>
      </rPr>
      <t>x</t>
    </r>
    <r>
      <rPr>
        <b/>
        <sz val="11"/>
        <color rgb="FF00B050"/>
        <rFont val="Calibri"/>
        <family val="2"/>
        <scheme val="minor"/>
      </rPr>
      <t>cc</t>
    </r>
    <r>
      <rPr>
        <sz val="11"/>
        <color rgb="FF00B050"/>
        <rFont val="Calibri"/>
        <family val="2"/>
        <scheme val="minor"/>
      </rPr>
      <t>+</t>
    </r>
    <r>
      <rPr>
        <b/>
        <sz val="11"/>
        <color rgb="FF00B050"/>
        <rFont val="Calibri"/>
        <family val="2"/>
        <scheme val="minor"/>
      </rPr>
      <t>2</t>
    </r>
    <r>
      <rPr>
        <sz val="11"/>
        <color rgb="FF00B050"/>
        <rFont val="Calibri"/>
        <family val="2"/>
        <scheme val="minor"/>
      </rPr>
      <t>x</t>
    </r>
    <r>
      <rPr>
        <b/>
        <sz val="11"/>
        <color rgb="FF00B050"/>
        <rFont val="Calibri"/>
        <family val="2"/>
        <scheme val="minor"/>
      </rPr>
      <t>Østirrup</t>
    </r>
    <r>
      <rPr>
        <sz val="11"/>
        <color rgb="FF00B050"/>
        <rFont val="Calibri"/>
        <family val="2"/>
        <scheme val="minor"/>
      </rPr>
      <t>+</t>
    </r>
    <r>
      <rPr>
        <b/>
        <sz val="11"/>
        <color rgb="FF00B050"/>
        <rFont val="Calibri"/>
        <family val="2"/>
        <scheme val="minor"/>
      </rPr>
      <t>2</t>
    </r>
    <r>
      <rPr>
        <sz val="11"/>
        <color rgb="FF00B050"/>
        <rFont val="Calibri"/>
        <family val="2"/>
        <scheme val="minor"/>
      </rPr>
      <t>x</t>
    </r>
    <r>
      <rPr>
        <b/>
        <sz val="11"/>
        <color rgb="FF00B050"/>
        <rFont val="Calibri"/>
        <family val="2"/>
        <scheme val="minor"/>
      </rPr>
      <t>Ømain</t>
    </r>
    <r>
      <rPr>
        <sz val="11"/>
        <color rgb="FF00B050"/>
        <rFont val="Calibri"/>
        <family val="2"/>
        <scheme val="minor"/>
      </rPr>
      <t>+</t>
    </r>
    <r>
      <rPr>
        <b/>
        <sz val="11"/>
        <color rgb="FF00B050"/>
        <rFont val="Calibri"/>
        <family val="2"/>
        <scheme val="minor"/>
      </rPr>
      <t>2</t>
    </r>
    <r>
      <rPr>
        <sz val="11"/>
        <color rgb="FF00B050"/>
        <rFont val="Calibri"/>
        <family val="2"/>
        <scheme val="minor"/>
      </rPr>
      <t>x</t>
    </r>
    <r>
      <rPr>
        <b/>
        <sz val="11"/>
        <color rgb="FF00B050"/>
        <rFont val="Calibri"/>
        <family val="2"/>
        <scheme val="minor"/>
      </rPr>
      <t>X</t>
    </r>
    <r>
      <rPr>
        <sz val="11"/>
        <color rgb="FF00B050"/>
        <rFont val="Calibri"/>
        <family val="2"/>
        <scheme val="minor"/>
      </rPr>
      <t>+</t>
    </r>
    <r>
      <rPr>
        <b/>
        <sz val="11"/>
        <color rgb="FF00B050"/>
        <rFont val="Calibri"/>
        <family val="2"/>
        <scheme val="minor"/>
      </rPr>
      <t>2</t>
    </r>
    <r>
      <rPr>
        <sz val="11"/>
        <color rgb="FF00B050"/>
        <rFont val="Calibri"/>
        <family val="2"/>
        <scheme val="minor"/>
      </rPr>
      <t>x</t>
    </r>
    <r>
      <rPr>
        <b/>
        <sz val="11"/>
        <color rgb="FF00B050"/>
        <rFont val="Calibri"/>
        <family val="2"/>
        <scheme val="minor"/>
      </rPr>
      <t>Øfrontanchoringbars</t>
    </r>
    <r>
      <rPr>
        <sz val="11"/>
        <color rgb="FF00B050"/>
        <rFont val="Calibri"/>
        <family val="2"/>
        <scheme val="minor"/>
      </rPr>
      <t>x</t>
    </r>
    <r>
      <rPr>
        <b/>
        <sz val="11"/>
        <color rgb="FF00B050"/>
        <rFont val="Calibri"/>
        <family val="2"/>
        <scheme val="minor"/>
      </rPr>
      <t>(NoAnchoringbars-1)</t>
    </r>
    <r>
      <rPr>
        <sz val="11"/>
        <color rgb="FF00B050"/>
        <rFont val="Calibri"/>
        <family val="2"/>
        <scheme val="minor"/>
      </rPr>
      <t>+</t>
    </r>
    <r>
      <rPr>
        <b/>
        <sz val="11"/>
        <color rgb="FF00B050"/>
        <rFont val="Calibri"/>
        <family val="2"/>
        <scheme val="minor"/>
      </rPr>
      <t>Øhalfroundsteel=</t>
    </r>
  </si>
  <si>
    <t>Input, see EC2 - Clause 8.2</t>
  </si>
  <si>
    <t>Input, see EC2 - Clause 8.4.2</t>
  </si>
  <si>
    <t xml:space="preserve">From table, see Figure 1. </t>
  </si>
  <si>
    <t>Green numbers: Relevant output.</t>
  </si>
  <si>
    <t>Green text: Author's notes on formulas.</t>
  </si>
  <si>
    <t xml:space="preserve">Input </t>
  </si>
  <si>
    <t>*NOTE: Standard anchoring reinforcment at front for this unit (from Table):</t>
  </si>
  <si>
    <t>*NOTE: Standard anchoring reinforcment at back for this unit (from Table):</t>
  </si>
  <si>
    <t>Selected diameter of anchoring  reinforcment bar:</t>
  </si>
  <si>
    <t>Selected diameter of anchoring  reinforcment bar type 1:</t>
  </si>
  <si>
    <t>Selected diameter of anchoring  reinforcment bar type 2:</t>
  </si>
  <si>
    <t>No of bars type 2:</t>
  </si>
  <si>
    <r>
      <t>Minimum mandrel diameter bar type 1 &amp; 2: Ø</t>
    </r>
    <r>
      <rPr>
        <vertAlign val="subscript"/>
        <sz val="11"/>
        <color theme="1"/>
        <rFont val="Calibri"/>
        <family val="2"/>
        <scheme val="minor"/>
      </rPr>
      <t>mb,min</t>
    </r>
    <r>
      <rPr>
        <sz val="11"/>
        <color theme="1"/>
        <rFont val="Calibri"/>
        <family val="2"/>
        <scheme val="minor"/>
      </rPr>
      <t>=</t>
    </r>
  </si>
  <si>
    <t>*NOTE: Maximum diameter of reinforcement bar: Ø25mm when bending around 200mm half round steel, Ø16mm when bending around 76mm half round steel</t>
  </si>
  <si>
    <t>""</t>
  </si>
  <si>
    <t>*NOTE: Maximum diameter of reinforcement bar: Ø16mm when bending around 76mm half round steel</t>
  </si>
  <si>
    <t>Black numbers: Results from calculations,or values extracted from tabulated input on other sheets.</t>
  </si>
  <si>
    <t>Green text italics: Text will/may change when changing input.</t>
  </si>
  <si>
    <t xml:space="preserve">*Help calculation for evaluation of required width of beam due to space. NOTE: This is a quite approximate value. Final evaluation to be done by engineer): </t>
  </si>
  <si>
    <t>Ancoring (horizontal lap length of anchoring bars, see note):</t>
  </si>
  <si>
    <t>*NOTE: Sufficient anchoring of main reinforcement towards the beam end at the point where the anchoring bar ends must be ensured. See example calculations in memo 521.</t>
  </si>
  <si>
    <r>
      <t>The calculated lap length l</t>
    </r>
    <r>
      <rPr>
        <b/>
        <vertAlign val="subscript"/>
        <sz val="11"/>
        <color rgb="FF00B050"/>
        <rFont val="Calibri"/>
        <family val="2"/>
        <scheme val="minor"/>
      </rPr>
      <t>0</t>
    </r>
    <r>
      <rPr>
        <b/>
        <sz val="11"/>
        <color rgb="FF00B050"/>
        <rFont val="Calibri"/>
        <family val="2"/>
        <scheme val="minor"/>
      </rPr>
      <t xml:space="preserve"> towards the main reinforcement require the bars are touching each other. Otherwise the lap length shall be increased according to the rules in EC2</t>
    </r>
  </si>
  <si>
    <t>Control of shear compression:      -&gt; Text will come here if OK
                 -&gt;Text will come here if NOT OK</t>
  </si>
  <si>
    <t>Concrete cover (incl. unfavourable tolerance): cc=</t>
  </si>
  <si>
    <t>Real outer diameter for space requirement</t>
  </si>
  <si>
    <t>CONCRETE  (Eurocode 2 Table 3.1)</t>
  </si>
  <si>
    <t>Horizontal bars in beam end:</t>
  </si>
  <si>
    <r>
      <t>Selected mandrel diameter: Ø</t>
    </r>
    <r>
      <rPr>
        <vertAlign val="subscript"/>
        <sz val="11"/>
        <color theme="1"/>
        <rFont val="Calibri"/>
        <family val="2"/>
        <scheme val="minor"/>
      </rPr>
      <t>mf,selected</t>
    </r>
    <r>
      <rPr>
        <sz val="11"/>
        <color theme="1"/>
        <rFont val="Calibri"/>
        <family val="2"/>
        <scheme val="minor"/>
      </rPr>
      <t>=</t>
    </r>
  </si>
  <si>
    <r>
      <t>Required amount of horizontal bars in beam end: A</t>
    </r>
    <r>
      <rPr>
        <vertAlign val="subscript"/>
        <sz val="11"/>
        <color theme="1"/>
        <rFont val="Calibri"/>
        <family val="2"/>
        <scheme val="minor"/>
      </rPr>
      <t>s</t>
    </r>
    <r>
      <rPr>
        <sz val="11"/>
        <color theme="1"/>
        <rFont val="Calibri"/>
        <family val="2"/>
        <scheme val="minor"/>
      </rPr>
      <t>/s=</t>
    </r>
  </si>
  <si>
    <t xml:space="preserve">Included if beam height exceeds: </t>
  </si>
  <si>
    <t>Control:      -&gt; Text will come here if not required
                 -&gt;Text will come here if required</t>
  </si>
  <si>
    <t>Recommended value: e=</t>
  </si>
  <si>
    <r>
      <t>Height of knife h</t>
    </r>
    <r>
      <rPr>
        <vertAlign val="subscript"/>
        <sz val="11"/>
        <color theme="1"/>
        <rFont val="Calibri"/>
        <family val="2"/>
        <scheme val="minor"/>
      </rPr>
      <t>knife</t>
    </r>
    <r>
      <rPr>
        <sz val="11"/>
        <color theme="1"/>
        <rFont val="Calibri"/>
        <family val="2"/>
        <scheme val="minor"/>
      </rPr>
      <t>=</t>
    </r>
  </si>
  <si>
    <r>
      <t>Thickness of knife t</t>
    </r>
    <r>
      <rPr>
        <vertAlign val="subscript"/>
        <sz val="11"/>
        <color theme="1"/>
        <rFont val="Calibri"/>
        <family val="2"/>
        <scheme val="minor"/>
      </rPr>
      <t>knife</t>
    </r>
    <r>
      <rPr>
        <sz val="11"/>
        <color theme="1"/>
        <rFont val="Calibri"/>
        <family val="2"/>
        <scheme val="minor"/>
      </rPr>
      <t>=</t>
    </r>
  </si>
  <si>
    <r>
      <t>Diameter of stirrups: Ø</t>
    </r>
    <r>
      <rPr>
        <vertAlign val="subscript"/>
        <sz val="11"/>
        <color theme="1"/>
        <rFont val="Calibri"/>
        <family val="2"/>
        <scheme val="minor"/>
      </rPr>
      <t>stirrup</t>
    </r>
    <r>
      <rPr>
        <sz val="11"/>
        <color theme="1"/>
        <rFont val="Calibri"/>
        <family val="2"/>
        <scheme val="minor"/>
      </rPr>
      <t>=</t>
    </r>
  </si>
  <si>
    <r>
      <t>Horizontal ulitmate limit friction load F</t>
    </r>
    <r>
      <rPr>
        <vertAlign val="subscript"/>
        <sz val="11"/>
        <color theme="1"/>
        <rFont val="Calibri"/>
        <family val="2"/>
        <scheme val="minor"/>
      </rPr>
      <t>H,Ed</t>
    </r>
    <r>
      <rPr>
        <vertAlign val="subscript"/>
        <sz val="11"/>
        <color theme="1"/>
        <rFont val="Symbol"/>
        <family val="1"/>
        <charset val="2"/>
      </rPr>
      <t xml:space="preserve"> </t>
    </r>
    <r>
      <rPr>
        <sz val="11"/>
        <color theme="1"/>
        <rFont val="Symbol"/>
        <family val="1"/>
        <charset val="2"/>
      </rPr>
      <t>=</t>
    </r>
  </si>
  <si>
    <t>NOTE: Remember to update input on user seleced anchoring reinforcement, see further below.</t>
  </si>
  <si>
    <t xml:space="preserve">Red text: Warnings (Warnings may occur in cells to the right of cells marked with *). Note: Warnings are included only for some specific controls, and an error will not necessarily lead to a warning. </t>
  </si>
  <si>
    <r>
      <t>*Informative value. Mandrel diameter &gt;Ø</t>
    </r>
    <r>
      <rPr>
        <b/>
        <vertAlign val="subscript"/>
        <sz val="11"/>
        <color rgb="FF00B050"/>
        <rFont val="Calibri"/>
        <family val="2"/>
        <scheme val="minor"/>
      </rPr>
      <t>mf,min</t>
    </r>
    <r>
      <rPr>
        <b/>
        <sz val="11"/>
        <color rgb="FF00B050"/>
        <rFont val="Calibri"/>
        <family val="2"/>
        <scheme val="minor"/>
      </rPr>
      <t xml:space="preserve"> to be selected by user. Assuming concrete strut in 45degrees.</t>
    </r>
  </si>
  <si>
    <t>*NOTE: The centre of gravity of the selected anchoring reinforcement shall be as assumed for the standard reinforcement. Otherwise, the equilibrium equations are wrong.  Also failure of knife may occur.</t>
  </si>
  <si>
    <t>*NOTE: The centre of gravity for the selected anchoring reinforcement shall be as assumed for the standard reinforcement. Otherwise, the  equilibrium equations are wrong.  Also failure of knife may occur.</t>
  </si>
  <si>
    <r>
      <t>*Informative value. Mandrel diameter &gt;Ø</t>
    </r>
    <r>
      <rPr>
        <b/>
        <vertAlign val="subscript"/>
        <sz val="11"/>
        <color rgb="FF00B050"/>
        <rFont val="Calibri"/>
        <family val="2"/>
        <scheme val="minor"/>
      </rPr>
      <t>mb,min</t>
    </r>
    <r>
      <rPr>
        <b/>
        <sz val="11"/>
        <color rgb="FF00B050"/>
        <rFont val="Calibri"/>
        <family val="2"/>
        <scheme val="minor"/>
      </rPr>
      <t xml:space="preserve"> to be selected by user. Assuming concrete strut in 45degrees.</t>
    </r>
  </si>
  <si>
    <r>
      <t xml:space="preserve">*Information: According to recommended expression in EC2 </t>
    </r>
    <r>
      <rPr>
        <b/>
        <sz val="11"/>
        <color rgb="FF00B050"/>
        <rFont val="Symbol"/>
        <family val="1"/>
        <charset val="2"/>
      </rPr>
      <t>u</t>
    </r>
    <r>
      <rPr>
        <b/>
        <vertAlign val="subscript"/>
        <sz val="11"/>
        <color rgb="FF00B050"/>
        <rFont val="Calibri"/>
        <family val="2"/>
        <scheme val="minor"/>
      </rPr>
      <t>1</t>
    </r>
    <r>
      <rPr>
        <b/>
        <sz val="11"/>
        <color rgb="FF00B050"/>
        <rFont val="Calibri"/>
        <family val="2"/>
        <scheme val="minor"/>
      </rPr>
      <t>=</t>
    </r>
  </si>
  <si>
    <r>
      <t>*Informative value. Shear reinforcement &gt;A</t>
    </r>
    <r>
      <rPr>
        <b/>
        <vertAlign val="subscript"/>
        <sz val="11"/>
        <color rgb="FF00B050"/>
        <rFont val="Calibri"/>
        <family val="2"/>
        <scheme val="minor"/>
      </rPr>
      <t>s</t>
    </r>
    <r>
      <rPr>
        <b/>
        <sz val="11"/>
        <color rgb="FF00B050"/>
        <rFont val="Calibri"/>
        <family val="2"/>
        <scheme val="minor"/>
      </rPr>
      <t>/s to be selected by user.</t>
    </r>
  </si>
  <si>
    <r>
      <t>*Informative value. Centre/centre distance less than s</t>
    </r>
    <r>
      <rPr>
        <b/>
        <vertAlign val="subscript"/>
        <sz val="11"/>
        <color rgb="FF00B050"/>
        <rFont val="Calibri"/>
        <family val="2"/>
        <scheme val="minor"/>
      </rPr>
      <t>max</t>
    </r>
    <r>
      <rPr>
        <b/>
        <sz val="11"/>
        <color rgb="FF00B050"/>
        <rFont val="Calibri"/>
        <family val="2"/>
        <scheme val="minor"/>
      </rPr>
      <t xml:space="preserve"> to be selected by user. To be brought approximately 200mm past the end of the beam unit in order to absorb splitting effects from the threaded bars anchoring the horizontal force.</t>
    </r>
  </si>
  <si>
    <r>
      <t>*Informative value. Horizontal bars with &gt;A</t>
    </r>
    <r>
      <rPr>
        <b/>
        <vertAlign val="subscript"/>
        <sz val="11"/>
        <color rgb="FF00B050"/>
        <rFont val="Calibri"/>
        <family val="2"/>
        <scheme val="minor"/>
      </rPr>
      <t>s</t>
    </r>
    <r>
      <rPr>
        <b/>
        <sz val="11"/>
        <color rgb="FF00B050"/>
        <rFont val="Calibri"/>
        <family val="2"/>
        <scheme val="minor"/>
      </rPr>
      <t>/s  (vertical intensity)  to be selected by user (If required for selected beam height).</t>
    </r>
  </si>
  <si>
    <t>*NOTE: The listed value includes maximum unfavourable tolerance on position of front reinforcement.</t>
  </si>
  <si>
    <t xml:space="preserve">DISCLAIMER:
This spreadsheet is provided free of charge "AS IS" without warranty of any kind, express or implied. In no event, shall the author, 
Invisible Connections, or the representative company responsible for the marketing and sale of the BSF-connection in the country of application, be liable for any claim, damages or other liability arising from use of the results from the spreadsheet. 
The spreadsheet is developed only for use on the BSF connection delivered by Invisible Connections.  The user shall be familiar with the information and guidelines provided in relevant BSF Memos (available for download on www.invisibleconnections.no), and have adequate qualifications and knowledge about design of concrete structures. The user shall always check the reasonableness of the results by other software or by hand calculations. In case of deviation between the results from the spreadsheet and the information in the memos, please contact Invisible Connections. </t>
  </si>
  <si>
    <t>Design assumption - 30% horizontal friction force, see memo 521 for details. (NOTE: This is not a capacity to be utilzied for load transfer in the connction)</t>
  </si>
  <si>
    <t>Length b=</t>
  </si>
  <si>
    <t>Length c=</t>
  </si>
  <si>
    <t xml:space="preserve"> Length a=</t>
  </si>
  <si>
    <t xml:space="preserve">*NOTE: The listed value includes maximum unfavourable tolerance on gap between column and beam end. </t>
  </si>
  <si>
    <t xml:space="preserve">*NOTE: The listed value includes maximum unfavourable tolerance on position of reinforcement at back. </t>
  </si>
  <si>
    <t xml:space="preserve">UNIT: </t>
  </si>
  <si>
    <r>
      <t>f</t>
    </r>
    <r>
      <rPr>
        <b/>
        <vertAlign val="subscript"/>
        <sz val="11"/>
        <color theme="1"/>
        <rFont val="Calibri"/>
        <family val="2"/>
        <scheme val="minor"/>
      </rPr>
      <t>ck</t>
    </r>
  </si>
  <si>
    <r>
      <t>f</t>
    </r>
    <r>
      <rPr>
        <b/>
        <vertAlign val="subscript"/>
        <sz val="11"/>
        <color theme="1"/>
        <rFont val="Calibri"/>
        <family val="2"/>
        <scheme val="minor"/>
      </rPr>
      <t>ck,cube</t>
    </r>
  </si>
  <si>
    <r>
      <t>f</t>
    </r>
    <r>
      <rPr>
        <b/>
        <vertAlign val="subscript"/>
        <sz val="11"/>
        <color theme="1"/>
        <rFont val="Calibri"/>
        <family val="2"/>
        <scheme val="minor"/>
      </rPr>
      <t>cm</t>
    </r>
  </si>
  <si>
    <r>
      <t>f</t>
    </r>
    <r>
      <rPr>
        <b/>
        <vertAlign val="subscript"/>
        <sz val="11"/>
        <color theme="1"/>
        <rFont val="Calibri"/>
        <family val="2"/>
        <scheme val="minor"/>
      </rPr>
      <t>ctm</t>
    </r>
  </si>
  <si>
    <r>
      <t>f</t>
    </r>
    <r>
      <rPr>
        <b/>
        <vertAlign val="subscript"/>
        <sz val="11"/>
        <color theme="1"/>
        <rFont val="Calibri"/>
        <family val="2"/>
        <scheme val="minor"/>
      </rPr>
      <t>ctk,0,05</t>
    </r>
  </si>
  <si>
    <t>Horizontal ultimate limit load</t>
  </si>
  <si>
    <t>Lenght a (Figure 1)</t>
  </si>
  <si>
    <t>Length b (Figure 1)</t>
  </si>
  <si>
    <t>Length c (Figure 1)</t>
  </si>
  <si>
    <t xml:space="preserve">BSF-CONNECTION CALCULATION - EDITION 2.0  Release date 02.01.2017.  </t>
  </si>
  <si>
    <t>*NOTE: Skew connections will require special units. The current version of the spreadsheet includes capacities only for some selected skew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</si>
</sst>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1" x14ac:knownFonts="1">
    <font>
      <sz val="11"/>
      <color theme="1"/>
      <name val="Calibri"/>
      <family val="2"/>
      <scheme val="minor"/>
    </font>
    <font>
      <sz val="11"/>
      <color rgb="FFFF0000"/>
      <name val="Calibri"/>
      <family val="2"/>
      <scheme val="minor"/>
    </font>
    <font>
      <b/>
      <sz val="11"/>
      <color theme="1"/>
      <name val="Calibri"/>
      <family val="2"/>
      <scheme val="minor"/>
    </font>
    <font>
      <vertAlign val="subscript"/>
      <sz val="11"/>
      <color theme="1"/>
      <name val="Calibri"/>
      <family val="2"/>
      <scheme val="minor"/>
    </font>
    <font>
      <sz val="11"/>
      <color theme="1"/>
      <name val="Symbol"/>
      <family val="1"/>
      <charset val="2"/>
    </font>
    <font>
      <vertAlign val="subscript"/>
      <sz val="11"/>
      <color theme="1"/>
      <name val="Symbol"/>
      <family val="1"/>
      <charset val="2"/>
    </font>
    <font>
      <b/>
      <sz val="11"/>
      <color rgb="FFFF0000"/>
      <name val="Calibri"/>
      <family val="2"/>
      <scheme val="minor"/>
    </font>
    <font>
      <i/>
      <sz val="11"/>
      <color theme="1"/>
      <name val="Calibri"/>
      <family val="2"/>
      <scheme val="minor"/>
    </font>
    <font>
      <sz val="11"/>
      <name val="Calibri"/>
      <family val="2"/>
      <scheme val="minor"/>
    </font>
    <font>
      <sz val="11"/>
      <color rgb="FF00B050"/>
      <name val="Calibri"/>
      <family val="2"/>
      <scheme val="minor"/>
    </font>
    <font>
      <b/>
      <sz val="11"/>
      <color rgb="FF00B0F0"/>
      <name val="Calibri"/>
      <family val="2"/>
      <scheme val="minor"/>
    </font>
    <font>
      <b/>
      <vertAlign val="subscript"/>
      <sz val="11"/>
      <color theme="1"/>
      <name val="Calibri"/>
      <family val="2"/>
      <scheme val="minor"/>
    </font>
    <font>
      <vertAlign val="superscript"/>
      <sz val="11"/>
      <color theme="1"/>
      <name val="Calibri"/>
      <family val="2"/>
      <scheme val="minor"/>
    </font>
    <font>
      <b/>
      <sz val="11"/>
      <color rgb="FF00B050"/>
      <name val="Calibri"/>
      <family val="2"/>
      <scheme val="minor"/>
    </font>
    <font>
      <b/>
      <i/>
      <sz val="11"/>
      <color theme="1"/>
      <name val="Calibri"/>
      <family val="2"/>
      <scheme val="minor"/>
    </font>
    <font>
      <b/>
      <vertAlign val="subscript"/>
      <sz val="11"/>
      <color rgb="FF00B050"/>
      <name val="Calibri"/>
      <family val="2"/>
      <scheme val="minor"/>
    </font>
    <font>
      <b/>
      <sz val="11"/>
      <color rgb="FF00B050"/>
      <name val="Symbol"/>
      <family val="1"/>
      <charset val="2"/>
    </font>
    <font>
      <b/>
      <sz val="16"/>
      <color theme="1"/>
      <name val="Calibri"/>
      <family val="2"/>
      <scheme val="minor"/>
    </font>
    <font>
      <b/>
      <sz val="14"/>
      <color rgb="FFC00000"/>
      <name val="Calibri"/>
      <family val="2"/>
      <scheme val="minor"/>
    </font>
    <font>
      <b/>
      <i/>
      <sz val="11"/>
      <color rgb="FF00B050"/>
      <name val="Calibri"/>
      <family val="2"/>
      <scheme val="minor"/>
    </font>
    <font>
      <b/>
      <i/>
      <sz val="11"/>
      <color rgb="FFFF0000"/>
      <name val="Calibri"/>
      <family val="2"/>
      <scheme val="minor"/>
    </font>
  </fonts>
  <fills count="2">
    <fill>
      <patternFill patternType="none"/>
    </fill>
    <fill>
      <patternFill patternType="gray125"/>
    </fill>
  </fills>
  <borders count="12">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0" fillId="0" borderId="0" xfId="0" applyAlignment="1">
      <alignment horizontal="center"/>
    </xf>
    <xf numFmtId="2" fontId="0" fillId="0" borderId="0" xfId="0" applyNumberFormat="1"/>
    <xf numFmtId="164" fontId="0" fillId="0" borderId="0" xfId="0" applyNumberFormat="1"/>
    <xf numFmtId="0" fontId="0" fillId="0" borderId="0" xfId="0" applyAlignment="1">
      <alignment horizontal="right"/>
    </xf>
    <xf numFmtId="0" fontId="2" fillId="0" borderId="0" xfId="0" applyFont="1"/>
    <xf numFmtId="0" fontId="1" fillId="0" borderId="0" xfId="0" applyFont="1"/>
    <xf numFmtId="0" fontId="6" fillId="0" borderId="0" xfId="0" applyFont="1"/>
    <xf numFmtId="0" fontId="0" fillId="0" borderId="0" xfId="0" applyFont="1"/>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7" fillId="0" borderId="0" xfId="0" applyFont="1" applyAlignment="1">
      <alignment horizontal="right"/>
    </xf>
    <xf numFmtId="1" fontId="8" fillId="0" borderId="0" xfId="0" applyNumberFormat="1" applyFont="1"/>
    <xf numFmtId="0" fontId="9" fillId="0" borderId="0" xfId="0" applyFont="1"/>
    <xf numFmtId="0" fontId="10" fillId="0" borderId="0" xfId="0" applyFont="1"/>
    <xf numFmtId="0" fontId="0" fillId="0" borderId="0" xfId="0" applyAlignment="1">
      <alignment horizontal="center"/>
    </xf>
    <xf numFmtId="0" fontId="0" fillId="0" borderId="0" xfId="0" applyAlignment="1">
      <alignment horizontal="center"/>
    </xf>
    <xf numFmtId="0" fontId="2" fillId="0" borderId="3" xfId="0" applyFont="1" applyBorder="1" applyAlignment="1">
      <alignment horizontal="center"/>
    </xf>
    <xf numFmtId="0" fontId="0" fillId="0" borderId="3" xfId="0" applyBorder="1" applyAlignment="1">
      <alignment horizontal="center"/>
    </xf>
    <xf numFmtId="0" fontId="0" fillId="0" borderId="3" xfId="0" applyFill="1" applyBorder="1" applyAlignment="1">
      <alignment horizontal="center"/>
    </xf>
    <xf numFmtId="0" fontId="0" fillId="0" borderId="4" xfId="0" applyBorder="1"/>
    <xf numFmtId="0" fontId="0" fillId="0" borderId="1" xfId="0" applyBorder="1"/>
    <xf numFmtId="0" fontId="0" fillId="0" borderId="0" xfId="0" applyBorder="1"/>
    <xf numFmtId="0" fontId="0" fillId="0" borderId="2" xfId="0" applyBorder="1"/>
    <xf numFmtId="0" fontId="13" fillId="0" borderId="0" xfId="0" applyFont="1"/>
    <xf numFmtId="0" fontId="13" fillId="0" borderId="0" xfId="0" applyFont="1" applyAlignment="1">
      <alignment horizontal="center" wrapText="1"/>
    </xf>
    <xf numFmtId="1" fontId="13" fillId="0" borderId="0" xfId="0" applyNumberFormat="1" applyFont="1"/>
    <xf numFmtId="0" fontId="0" fillId="0" borderId="0" xfId="0" applyBorder="1" applyAlignment="1">
      <alignment horizontal="right"/>
    </xf>
    <xf numFmtId="0" fontId="10" fillId="0" borderId="0" xfId="0" applyFont="1" applyBorder="1"/>
    <xf numFmtId="0" fontId="6" fillId="0" borderId="0" xfId="0" applyFont="1" applyBorder="1"/>
    <xf numFmtId="1" fontId="0" fillId="0" borderId="0" xfId="0" applyNumberFormat="1" applyBorder="1" applyAlignment="1">
      <alignment horizontal="center"/>
    </xf>
    <xf numFmtId="164" fontId="10" fillId="0" borderId="0" xfId="0" applyNumberFormat="1" applyFont="1"/>
    <xf numFmtId="0" fontId="7" fillId="0" borderId="0" xfId="0" applyFont="1" applyFill="1" applyBorder="1" applyAlignment="1">
      <alignment horizontal="left"/>
    </xf>
    <xf numFmtId="1" fontId="0" fillId="0" borderId="0" xfId="0" applyNumberFormat="1"/>
    <xf numFmtId="1" fontId="13" fillId="0" borderId="0" xfId="0" applyNumberFormat="1" applyFont="1" applyAlignment="1">
      <alignment horizontal="left"/>
    </xf>
    <xf numFmtId="1" fontId="13" fillId="0" borderId="0" xfId="0" applyNumberFormat="1" applyFont="1" applyAlignment="1">
      <alignment horizontal="left" vertical="center"/>
    </xf>
    <xf numFmtId="0" fontId="13" fillId="0" borderId="0" xfId="0" applyFont="1" applyAlignment="1">
      <alignment horizontal="left"/>
    </xf>
    <xf numFmtId="0" fontId="0" fillId="0" borderId="4" xfId="0" applyBorder="1" applyAlignment="1">
      <alignment horizontal="center"/>
    </xf>
    <xf numFmtId="0" fontId="7" fillId="0" borderId="0" xfId="0" applyFont="1" applyBorder="1" applyAlignment="1">
      <alignment horizontal="left"/>
    </xf>
    <xf numFmtId="0" fontId="14" fillId="0" borderId="4" xfId="0" applyFont="1" applyBorder="1" applyAlignment="1">
      <alignment horizontal="left"/>
    </xf>
    <xf numFmtId="0" fontId="2" fillId="0" borderId="5" xfId="0" applyFont="1" applyBorder="1" applyAlignment="1">
      <alignment horizontal="left"/>
    </xf>
    <xf numFmtId="0" fontId="0" fillId="0" borderId="5" xfId="0" applyBorder="1"/>
    <xf numFmtId="0" fontId="6" fillId="0" borderId="5" xfId="0" applyFont="1" applyBorder="1"/>
    <xf numFmtId="0" fontId="2" fillId="0" borderId="5" xfId="0" applyFont="1" applyBorder="1"/>
    <xf numFmtId="0" fontId="1" fillId="0" borderId="5" xfId="0" applyFont="1" applyBorder="1"/>
    <xf numFmtId="0" fontId="0" fillId="0" borderId="5" xfId="0" applyFont="1" applyBorder="1"/>
    <xf numFmtId="0" fontId="2" fillId="0" borderId="0" xfId="0" applyFont="1" applyBorder="1" applyAlignment="1">
      <alignment horizontal="left"/>
    </xf>
    <xf numFmtId="0" fontId="0" fillId="0" borderId="0" xfId="0" applyFont="1" applyBorder="1" applyAlignment="1">
      <alignment horizontal="right"/>
    </xf>
    <xf numFmtId="164" fontId="0" fillId="0" borderId="0" xfId="0" applyNumberFormat="1" applyBorder="1"/>
    <xf numFmtId="0" fontId="18" fillId="0" borderId="0" xfId="0" applyFont="1" applyAlignment="1">
      <alignment horizontal="center" vertical="center" wrapText="1"/>
    </xf>
    <xf numFmtId="0" fontId="0" fillId="0" borderId="0" xfId="0" applyFont="1" applyAlignment="1">
      <alignment horizontal="right"/>
    </xf>
    <xf numFmtId="1" fontId="0" fillId="0" borderId="0" xfId="0" applyNumberFormat="1" applyBorder="1" applyAlignment="1">
      <alignment horizontal="right"/>
    </xf>
    <xf numFmtId="1" fontId="0" fillId="0" borderId="0" xfId="0" applyNumberFormat="1" applyAlignment="1">
      <alignment horizontal="right"/>
    </xf>
    <xf numFmtId="164" fontId="0" fillId="0" borderId="2" xfId="0" applyNumberFormat="1" applyBorder="1" applyAlignment="1">
      <alignment horizontal="center"/>
    </xf>
    <xf numFmtId="0" fontId="0" fillId="0" borderId="9" xfId="0" applyBorder="1"/>
    <xf numFmtId="164" fontId="0" fillId="0" borderId="10" xfId="0" applyNumberFormat="1"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18" fillId="0" borderId="5" xfId="0" applyFont="1" applyBorder="1" applyAlignment="1">
      <alignment horizontal="center" vertical="center" wrapText="1"/>
    </xf>
    <xf numFmtId="0" fontId="13" fillId="0" borderId="0" xfId="0" applyFont="1" applyBorder="1" applyAlignment="1">
      <alignment horizontal="left"/>
    </xf>
    <xf numFmtId="0" fontId="19" fillId="0" borderId="0" xfId="0" applyFont="1" applyBorder="1" applyAlignment="1">
      <alignment horizontal="left"/>
    </xf>
    <xf numFmtId="0" fontId="19" fillId="0" borderId="0" xfId="0" applyFont="1" applyBorder="1" applyAlignment="1">
      <alignment horizontal="center" wrapText="1"/>
    </xf>
    <xf numFmtId="0" fontId="19" fillId="0" borderId="0" xfId="0" applyFont="1" applyBorder="1"/>
    <xf numFmtId="0" fontId="19" fillId="0" borderId="0" xfId="0" applyFont="1" applyBorder="1" applyAlignment="1">
      <alignment horizontal="right"/>
    </xf>
    <xf numFmtId="1" fontId="13" fillId="0" borderId="0" xfId="0" applyNumberFormat="1" applyFont="1" applyBorder="1" applyAlignment="1">
      <alignment horizontal="left"/>
    </xf>
    <xf numFmtId="165" fontId="19" fillId="0" borderId="0" xfId="0" applyNumberFormat="1" applyFont="1" applyBorder="1" applyAlignment="1">
      <alignment horizontal="left"/>
    </xf>
    <xf numFmtId="0" fontId="2" fillId="0" borderId="9"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0" fillId="0" borderId="3" xfId="0" applyBorder="1"/>
    <xf numFmtId="0" fontId="2" fillId="0" borderId="11" xfId="0" applyFont="1" applyFill="1" applyBorder="1" applyAlignment="1">
      <alignment horizontal="center"/>
    </xf>
    <xf numFmtId="1" fontId="13" fillId="0" borderId="0" xfId="0" applyNumberFormat="1" applyFont="1" applyAlignment="1">
      <alignment vertical="center"/>
    </xf>
    <xf numFmtId="0" fontId="7" fillId="0" borderId="5" xfId="0" applyFont="1" applyBorder="1" applyAlignment="1">
      <alignment horizontal="right"/>
    </xf>
    <xf numFmtId="0" fontId="0" fillId="0" borderId="0" xfId="0" applyAlignment="1">
      <alignment horizontal="right" vertical="center"/>
    </xf>
    <xf numFmtId="164" fontId="13" fillId="0" borderId="0" xfId="0" applyNumberFormat="1" applyFont="1"/>
    <xf numFmtId="0" fontId="10" fillId="0" borderId="0" xfId="0" applyFont="1" applyProtection="1">
      <protection locked="0"/>
    </xf>
    <xf numFmtId="0" fontId="10" fillId="0" borderId="0" xfId="0" applyFont="1" applyAlignment="1" applyProtection="1">
      <alignment horizontal="right"/>
      <protection locked="0"/>
    </xf>
    <xf numFmtId="164" fontId="10" fillId="0" borderId="0" xfId="0" applyNumberFormat="1" applyFont="1" applyProtection="1">
      <protection locked="0"/>
    </xf>
    <xf numFmtId="0" fontId="10" fillId="0" borderId="0" xfId="0" applyFont="1" applyBorder="1" applyAlignment="1" applyProtection="1">
      <alignment horizontal="right"/>
      <protection locked="0"/>
    </xf>
    <xf numFmtId="165" fontId="10" fillId="0" borderId="0" xfId="0" applyNumberFormat="1" applyFont="1" applyProtection="1">
      <protection locked="0"/>
    </xf>
    <xf numFmtId="0" fontId="7" fillId="0" borderId="0" xfId="0" applyFont="1" applyFill="1" applyBorder="1" applyAlignment="1">
      <alignment horizontal="right"/>
    </xf>
    <xf numFmtId="1" fontId="19" fillId="0" borderId="0" xfId="0" applyNumberFormat="1" applyFont="1"/>
    <xf numFmtId="1" fontId="20" fillId="0" borderId="0" xfId="0" applyNumberFormat="1" applyFont="1"/>
    <xf numFmtId="0" fontId="20" fillId="0" borderId="0" xfId="0" applyFont="1"/>
    <xf numFmtId="0" fontId="2" fillId="0" borderId="1" xfId="0" applyFont="1" applyBorder="1" applyAlignment="1">
      <alignment horizontal="center"/>
    </xf>
    <xf numFmtId="0" fontId="2" fillId="0" borderId="0" xfId="0" applyFont="1" applyBorder="1" applyAlignment="1">
      <alignment horizontal="center"/>
    </xf>
    <xf numFmtId="0" fontId="2" fillId="0" borderId="2" xfId="0" applyFont="1" applyBorder="1" applyAlignment="1">
      <alignment horizontal="center"/>
    </xf>
    <xf numFmtId="0" fontId="2" fillId="0" borderId="1" xfId="0" applyFont="1" applyBorder="1"/>
    <xf numFmtId="0" fontId="2" fillId="0" borderId="9" xfId="0" applyFont="1" applyBorder="1"/>
    <xf numFmtId="0" fontId="0" fillId="0" borderId="0" xfId="0" applyAlignment="1">
      <alignment horizontal="right" vertical="center" wrapText="1"/>
    </xf>
    <xf numFmtId="0" fontId="18" fillId="0" borderId="0" xfId="0" applyFont="1" applyAlignment="1">
      <alignment horizontal="center" vertical="center" wrapText="1"/>
    </xf>
    <xf numFmtId="0" fontId="17" fillId="0" borderId="5" xfId="0" applyFont="1" applyBorder="1" applyAlignment="1" applyProtection="1">
      <alignment horizontal="left"/>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3AF42C"/>
      <color rgb="FF64F959"/>
      <color rgb="FF21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712974</xdr:colOff>
      <xdr:row>50</xdr:row>
      <xdr:rowOff>172989</xdr:rowOff>
    </xdr:from>
    <xdr:to>
      <xdr:col>16</xdr:col>
      <xdr:colOff>339178</xdr:colOff>
      <xdr:row>66</xdr:row>
      <xdr:rowOff>161785</xdr:rowOff>
    </xdr:to>
    <xdr:pic>
      <xdr:nvPicPr>
        <xdr:cNvPr id="6" name="Bild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592" t="26468" r="11319" b="26583"/>
        <a:stretch/>
      </xdr:blipFill>
      <xdr:spPr>
        <a:xfrm>
          <a:off x="8285349" y="11150552"/>
          <a:ext cx="7555767" cy="335826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V136"/>
  <sheetViews>
    <sheetView tabSelected="1" topLeftCell="A49" zoomScale="80" zoomScaleNormal="80" workbookViewId="0">
      <selection activeCell="C23" sqref="C23"/>
    </sheetView>
  </sheetViews>
  <sheetFormatPr baseColWidth="10" defaultRowHeight="15" x14ac:dyDescent="0.25"/>
  <cols>
    <col min="1" max="1" width="3.28515625" customWidth="1"/>
    <col min="2" max="2" width="61" customWidth="1"/>
    <col min="3" max="3" width="13.7109375" bestFit="1" customWidth="1"/>
    <col min="6" max="6" width="12.7109375" customWidth="1"/>
    <col min="7" max="7" width="13.7109375" bestFit="1" customWidth="1"/>
    <col min="13" max="13" width="13.7109375" customWidth="1"/>
  </cols>
  <sheetData>
    <row r="3" spans="2:20" ht="18.75" customHeight="1" thickBot="1" x14ac:dyDescent="0.4">
      <c r="B3" s="93" t="s">
        <v>198</v>
      </c>
      <c r="C3" s="93"/>
      <c r="D3" s="93"/>
      <c r="E3" s="93"/>
      <c r="F3" s="93"/>
      <c r="G3" s="93"/>
      <c r="H3" s="93"/>
      <c r="I3" s="93"/>
      <c r="J3" s="93"/>
      <c r="K3" s="93"/>
      <c r="L3" s="93"/>
      <c r="M3" s="93"/>
      <c r="N3" s="93"/>
      <c r="O3" s="93"/>
      <c r="P3" s="93"/>
      <c r="Q3" s="93"/>
      <c r="R3" s="93"/>
      <c r="S3" s="93"/>
      <c r="T3" s="93"/>
    </row>
    <row r="5" spans="2:20" ht="15" customHeight="1" x14ac:dyDescent="0.25">
      <c r="B5" s="92" t="s">
        <v>181</v>
      </c>
      <c r="C5" s="92"/>
      <c r="D5" s="92"/>
      <c r="E5" s="92"/>
      <c r="F5" s="92"/>
      <c r="G5" s="92"/>
      <c r="H5" s="92"/>
      <c r="I5" s="92"/>
      <c r="J5" s="92"/>
      <c r="K5" s="92"/>
      <c r="L5" s="92"/>
      <c r="M5" s="92"/>
      <c r="N5" s="92"/>
      <c r="O5" s="92"/>
      <c r="P5" s="92"/>
      <c r="Q5" s="92"/>
      <c r="R5" s="92"/>
      <c r="S5" s="92"/>
      <c r="T5" s="92"/>
    </row>
    <row r="6" spans="2:20" ht="15" customHeight="1" x14ac:dyDescent="0.25">
      <c r="B6" s="92"/>
      <c r="C6" s="92"/>
      <c r="D6" s="92"/>
      <c r="E6" s="92"/>
      <c r="F6" s="92"/>
      <c r="G6" s="92"/>
      <c r="H6" s="92"/>
      <c r="I6" s="92"/>
      <c r="J6" s="92"/>
      <c r="K6" s="92"/>
      <c r="L6" s="92"/>
      <c r="M6" s="92"/>
      <c r="N6" s="92"/>
      <c r="O6" s="92"/>
      <c r="P6" s="92"/>
      <c r="Q6" s="92"/>
      <c r="R6" s="92"/>
      <c r="S6" s="92"/>
      <c r="T6" s="92"/>
    </row>
    <row r="7" spans="2:20" ht="15" customHeight="1" x14ac:dyDescent="0.25">
      <c r="B7" s="92"/>
      <c r="C7" s="92"/>
      <c r="D7" s="92"/>
      <c r="E7" s="92"/>
      <c r="F7" s="92"/>
      <c r="G7" s="92"/>
      <c r="H7" s="92"/>
      <c r="I7" s="92"/>
      <c r="J7" s="92"/>
      <c r="K7" s="92"/>
      <c r="L7" s="92"/>
      <c r="M7" s="92"/>
      <c r="N7" s="92"/>
      <c r="O7" s="92"/>
      <c r="P7" s="92"/>
      <c r="Q7" s="92"/>
      <c r="R7" s="92"/>
      <c r="S7" s="92"/>
      <c r="T7" s="92"/>
    </row>
    <row r="8" spans="2:20" ht="15" customHeight="1" x14ac:dyDescent="0.25">
      <c r="B8" s="92"/>
      <c r="C8" s="92"/>
      <c r="D8" s="92"/>
      <c r="E8" s="92"/>
      <c r="F8" s="92"/>
      <c r="G8" s="92"/>
      <c r="H8" s="92"/>
      <c r="I8" s="92"/>
      <c r="J8" s="92"/>
      <c r="K8" s="92"/>
      <c r="L8" s="92"/>
      <c r="M8" s="92"/>
      <c r="N8" s="92"/>
      <c r="O8" s="92"/>
      <c r="P8" s="92"/>
      <c r="Q8" s="92"/>
      <c r="R8" s="92"/>
      <c r="S8" s="92"/>
      <c r="T8" s="92"/>
    </row>
    <row r="9" spans="2:20" ht="18.75" customHeight="1" x14ac:dyDescent="0.25">
      <c r="B9" s="92"/>
      <c r="C9" s="92"/>
      <c r="D9" s="92"/>
      <c r="E9" s="92"/>
      <c r="F9" s="92"/>
      <c r="G9" s="92"/>
      <c r="H9" s="92"/>
      <c r="I9" s="92"/>
      <c r="J9" s="92"/>
      <c r="K9" s="92"/>
      <c r="L9" s="92"/>
      <c r="M9" s="92"/>
      <c r="N9" s="92"/>
      <c r="O9" s="92"/>
      <c r="P9" s="92"/>
      <c r="Q9" s="92"/>
      <c r="R9" s="92"/>
      <c r="S9" s="92"/>
      <c r="T9" s="92"/>
    </row>
    <row r="10" spans="2:20" ht="42" customHeight="1" x14ac:dyDescent="0.25">
      <c r="B10" s="92"/>
      <c r="C10" s="92"/>
      <c r="D10" s="92"/>
      <c r="E10" s="92"/>
      <c r="F10" s="92"/>
      <c r="G10" s="92"/>
      <c r="H10" s="92"/>
      <c r="I10" s="92"/>
      <c r="J10" s="92"/>
      <c r="K10" s="92"/>
      <c r="L10" s="92"/>
      <c r="M10" s="92"/>
      <c r="N10" s="92"/>
      <c r="O10" s="92"/>
      <c r="P10" s="92"/>
      <c r="Q10" s="92"/>
      <c r="R10" s="92"/>
      <c r="S10" s="92"/>
      <c r="T10" s="92"/>
    </row>
    <row r="11" spans="2:20" ht="18.75" customHeight="1" x14ac:dyDescent="0.25">
      <c r="C11" s="50"/>
      <c r="D11" s="50"/>
      <c r="E11" s="50"/>
      <c r="F11" s="50"/>
      <c r="G11" s="50"/>
      <c r="H11" s="50"/>
      <c r="I11" s="50"/>
      <c r="J11" s="50"/>
      <c r="K11" s="50"/>
      <c r="L11" s="50"/>
      <c r="M11" s="50"/>
      <c r="N11" s="50"/>
      <c r="O11" s="50"/>
      <c r="P11" s="50"/>
      <c r="Q11" s="50"/>
      <c r="R11" s="50"/>
      <c r="S11" s="50"/>
      <c r="T11" s="50"/>
    </row>
    <row r="12" spans="2:20" ht="18.75" customHeight="1" thickBot="1" x14ac:dyDescent="0.3">
      <c r="B12" s="44" t="s">
        <v>116</v>
      </c>
      <c r="C12" s="59"/>
      <c r="D12" s="59"/>
      <c r="E12" s="59"/>
      <c r="F12" s="59"/>
      <c r="G12" s="59"/>
      <c r="H12" s="59"/>
      <c r="I12" s="59"/>
      <c r="J12" s="59"/>
      <c r="K12" s="59"/>
      <c r="L12" s="59"/>
      <c r="M12" s="59"/>
      <c r="N12" s="59"/>
      <c r="O12" s="59"/>
      <c r="P12" s="59"/>
      <c r="Q12" s="59"/>
      <c r="R12" s="59"/>
      <c r="S12" s="59"/>
      <c r="T12" s="59"/>
    </row>
    <row r="13" spans="2:20" ht="18.75" customHeight="1" x14ac:dyDescent="0.25">
      <c r="B13" t="s">
        <v>115</v>
      </c>
      <c r="C13" s="50"/>
      <c r="D13" s="50"/>
      <c r="E13" s="50"/>
      <c r="F13" s="50"/>
      <c r="G13" s="50"/>
      <c r="H13" s="50"/>
      <c r="I13" s="50"/>
      <c r="J13" s="50"/>
      <c r="K13" s="50"/>
      <c r="L13" s="50"/>
      <c r="M13" s="50"/>
      <c r="N13" s="50"/>
      <c r="O13" s="50"/>
      <c r="P13" s="50"/>
      <c r="Q13" s="50"/>
      <c r="R13" s="50"/>
      <c r="S13" s="50"/>
      <c r="T13" s="50"/>
    </row>
    <row r="14" spans="2:20" ht="18.75" customHeight="1" x14ac:dyDescent="0.25">
      <c r="B14" t="s">
        <v>137</v>
      </c>
      <c r="C14" s="50"/>
      <c r="D14" s="50"/>
      <c r="E14" s="50"/>
      <c r="F14" s="50"/>
      <c r="G14" s="50"/>
      <c r="H14" s="50"/>
      <c r="I14" s="50"/>
      <c r="J14" s="50"/>
      <c r="K14" s="50"/>
      <c r="L14" s="50"/>
      <c r="M14" s="50"/>
      <c r="N14" s="50"/>
      <c r="O14" s="50"/>
      <c r="P14" s="50"/>
      <c r="Q14" s="50"/>
      <c r="R14" s="50"/>
      <c r="S14" s="50"/>
      <c r="T14" s="50"/>
    </row>
    <row r="15" spans="2:20" ht="18.75" customHeight="1" x14ac:dyDescent="0.25">
      <c r="B15" t="s">
        <v>150</v>
      </c>
      <c r="C15" s="50"/>
      <c r="D15" s="50"/>
      <c r="E15" s="50"/>
      <c r="F15" s="50"/>
      <c r="G15" s="50"/>
      <c r="H15" s="50"/>
      <c r="I15" s="50"/>
      <c r="J15" s="50"/>
      <c r="K15" s="50"/>
      <c r="L15" s="50"/>
      <c r="M15" s="50"/>
      <c r="N15" s="50"/>
      <c r="O15" s="50"/>
      <c r="P15" s="50"/>
      <c r="Q15" s="50"/>
      <c r="R15" s="50"/>
      <c r="S15" s="50"/>
      <c r="T15" s="50"/>
    </row>
    <row r="16" spans="2:20" ht="18.75" customHeight="1" x14ac:dyDescent="0.25">
      <c r="B16" t="s">
        <v>138</v>
      </c>
      <c r="C16" s="50"/>
      <c r="D16" s="50"/>
      <c r="E16" s="50"/>
      <c r="F16" s="50"/>
      <c r="G16" s="50"/>
      <c r="H16" s="50"/>
      <c r="I16" s="50"/>
      <c r="J16" s="50"/>
      <c r="K16" s="50"/>
      <c r="L16" s="50"/>
      <c r="M16" s="50"/>
      <c r="N16" s="50"/>
      <c r="O16" s="50"/>
      <c r="P16" s="50"/>
      <c r="Q16" s="50"/>
      <c r="R16" s="50"/>
      <c r="S16" s="50"/>
      <c r="T16" s="50"/>
    </row>
    <row r="17" spans="2:20" ht="18.75" customHeight="1" x14ac:dyDescent="0.25">
      <c r="B17" t="s">
        <v>151</v>
      </c>
      <c r="C17" s="50"/>
      <c r="D17" s="50"/>
      <c r="E17" s="50"/>
      <c r="F17" s="50"/>
      <c r="G17" s="50"/>
      <c r="H17" s="50"/>
      <c r="I17" s="50"/>
      <c r="J17" s="50"/>
      <c r="K17" s="50"/>
      <c r="L17" s="50"/>
      <c r="M17" s="50"/>
      <c r="N17" s="50"/>
      <c r="O17" s="50"/>
      <c r="P17" s="50"/>
      <c r="Q17" s="50"/>
      <c r="R17" s="50"/>
      <c r="S17" s="50"/>
      <c r="T17" s="50"/>
    </row>
    <row r="18" spans="2:20" ht="18.75" customHeight="1" x14ac:dyDescent="0.25">
      <c r="B18" t="s">
        <v>171</v>
      </c>
      <c r="C18" s="50"/>
      <c r="D18" s="50"/>
      <c r="E18" s="50"/>
      <c r="F18" s="50"/>
      <c r="G18" s="50"/>
      <c r="H18" s="50"/>
      <c r="I18" s="50"/>
      <c r="J18" s="50"/>
      <c r="K18" s="50"/>
      <c r="L18" s="50"/>
      <c r="M18" s="50"/>
      <c r="N18" s="50"/>
      <c r="O18" s="50"/>
      <c r="P18" s="50"/>
      <c r="Q18" s="50"/>
      <c r="R18" s="50"/>
      <c r="S18" s="50"/>
      <c r="T18" s="50"/>
    </row>
    <row r="19" spans="2:20" ht="18.75" x14ac:dyDescent="0.25">
      <c r="C19" s="50"/>
      <c r="D19" s="50"/>
      <c r="E19" s="50"/>
      <c r="F19" s="50"/>
      <c r="G19" s="50"/>
      <c r="H19" s="50"/>
      <c r="I19" s="50"/>
      <c r="J19" s="50"/>
      <c r="K19" s="50"/>
      <c r="L19" s="50"/>
      <c r="M19" s="50"/>
      <c r="N19" s="50"/>
      <c r="O19" s="50"/>
      <c r="P19" s="50"/>
      <c r="Q19" s="50"/>
      <c r="R19" s="50"/>
    </row>
    <row r="20" spans="2:20" ht="15.75" thickBot="1" x14ac:dyDescent="0.3">
      <c r="B20" s="44" t="s">
        <v>128</v>
      </c>
      <c r="C20" s="46"/>
      <c r="D20" s="46"/>
      <c r="E20" s="46"/>
      <c r="F20" s="46"/>
      <c r="G20" s="46"/>
      <c r="H20" s="46"/>
      <c r="I20" s="46"/>
      <c r="J20" s="46"/>
      <c r="K20" s="46"/>
      <c r="L20" s="46"/>
      <c r="M20" s="46"/>
      <c r="N20" s="46"/>
      <c r="O20" s="46"/>
      <c r="P20" s="46"/>
      <c r="Q20" s="42"/>
      <c r="R20" s="42"/>
      <c r="S20" s="42"/>
      <c r="T20" s="42"/>
    </row>
    <row r="21" spans="2:20" ht="18" x14ac:dyDescent="0.35">
      <c r="B21" s="4" t="s">
        <v>23</v>
      </c>
      <c r="C21" s="77">
        <v>200</v>
      </c>
      <c r="D21" t="s">
        <v>14</v>
      </c>
      <c r="E21" s="15" t="s">
        <v>42</v>
      </c>
    </row>
    <row r="22" spans="2:20" ht="18" x14ac:dyDescent="0.35">
      <c r="B22" s="4" t="s">
        <v>169</v>
      </c>
      <c r="C22" s="8">
        <f>C21*0.3</f>
        <v>60</v>
      </c>
      <c r="D22" t="s">
        <v>14</v>
      </c>
      <c r="E22" t="s">
        <v>182</v>
      </c>
    </row>
    <row r="23" spans="2:20" x14ac:dyDescent="0.25">
      <c r="B23" s="4" t="s">
        <v>25</v>
      </c>
      <c r="C23" s="77">
        <v>0</v>
      </c>
      <c r="D23" t="s">
        <v>32</v>
      </c>
      <c r="E23" s="15" t="s">
        <v>42</v>
      </c>
      <c r="G23" s="4" t="s">
        <v>112</v>
      </c>
      <c r="H23" s="7" t="str">
        <f>IF(C23&gt;0,"WARNING: CONCRETE STRESS BENEATH EFFICIENT AREA OF STEEL PLATE IN COLUMN UNIT TO BE CONTROLLED","")</f>
        <v/>
      </c>
    </row>
    <row r="24" spans="2:20" x14ac:dyDescent="0.25">
      <c r="B24" s="4"/>
      <c r="C24" s="15"/>
      <c r="H24" s="37" t="s">
        <v>199</v>
      </c>
    </row>
    <row r="25" spans="2:20" ht="15.75" thickBot="1" x14ac:dyDescent="0.3">
      <c r="B25" s="41" t="s">
        <v>188</v>
      </c>
      <c r="C25" s="42"/>
      <c r="D25" s="42"/>
      <c r="E25" s="42"/>
      <c r="F25" s="43"/>
      <c r="G25" s="42"/>
      <c r="H25" s="42"/>
      <c r="I25" s="42"/>
      <c r="J25" s="42"/>
      <c r="K25" s="42"/>
      <c r="L25" s="42"/>
      <c r="M25" s="42"/>
      <c r="N25" s="42"/>
      <c r="O25" s="42"/>
      <c r="P25" s="42"/>
      <c r="Q25" s="42"/>
      <c r="R25" s="42"/>
      <c r="S25" s="42"/>
      <c r="T25" s="42"/>
    </row>
    <row r="26" spans="2:20" x14ac:dyDescent="0.25">
      <c r="B26" s="4" t="s">
        <v>19</v>
      </c>
      <c r="C26" s="78" t="s">
        <v>11</v>
      </c>
      <c r="D26" s="14"/>
      <c r="E26" s="15" t="s">
        <v>42</v>
      </c>
      <c r="G26" s="4" t="s">
        <v>112</v>
      </c>
      <c r="H26" s="7" t="str">
        <f>IF(C27&lt;C21,"WARNING - THIS UNIT IS TOO WEAK","")</f>
        <v/>
      </c>
    </row>
    <row r="27" spans="2:20" ht="18" x14ac:dyDescent="0.35">
      <c r="B27" s="4" t="s">
        <v>21</v>
      </c>
      <c r="C27">
        <f>VLOOKUP(Input!$C$26,BSFData,(2+$C$23/5))</f>
        <v>225</v>
      </c>
      <c r="D27" t="s">
        <v>14</v>
      </c>
      <c r="E27" t="s">
        <v>121</v>
      </c>
      <c r="G27" s="4" t="s">
        <v>112</v>
      </c>
      <c r="H27" s="7" t="str">
        <f>IF(C27="N.A","WARNING:THE CAPACITY FOR THIS UNIT IN SKEW CONNECTION HAS NOT TO BEEN EVALUATED YET!","" )</f>
        <v/>
      </c>
    </row>
    <row r="28" spans="2:20" ht="18" x14ac:dyDescent="0.35">
      <c r="B28" s="4" t="s">
        <v>22</v>
      </c>
      <c r="C28">
        <f>VLOOKUP(Input!$C$26,BSFData,(7+$C$23/5))</f>
        <v>67.5</v>
      </c>
      <c r="D28" t="s">
        <v>14</v>
      </c>
      <c r="E28" t="s">
        <v>121</v>
      </c>
    </row>
    <row r="29" spans="2:20" x14ac:dyDescent="0.25">
      <c r="B29" s="4" t="s">
        <v>185</v>
      </c>
      <c r="C29">
        <f>VLOOKUP(Input!$C$26,BSFData,(12+$C$23/5))</f>
        <v>85</v>
      </c>
      <c r="D29" t="s">
        <v>16</v>
      </c>
      <c r="E29" t="s">
        <v>136</v>
      </c>
      <c r="H29" s="37" t="s">
        <v>186</v>
      </c>
    </row>
    <row r="30" spans="2:20" x14ac:dyDescent="0.25">
      <c r="B30" s="4" t="s">
        <v>183</v>
      </c>
      <c r="C30">
        <f>VLOOKUP(Input!$C$26,BSFData,(17+$C$23/5))</f>
        <v>45</v>
      </c>
      <c r="D30" t="s">
        <v>16</v>
      </c>
      <c r="E30" t="s">
        <v>121</v>
      </c>
      <c r="H30" s="37" t="s">
        <v>180</v>
      </c>
    </row>
    <row r="31" spans="2:20" x14ac:dyDescent="0.25">
      <c r="B31" s="4" t="s">
        <v>184</v>
      </c>
      <c r="C31">
        <f>VLOOKUP(Input!$C$26,BSFData,(22+$C$23/5))</f>
        <v>375</v>
      </c>
      <c r="D31" t="s">
        <v>16</v>
      </c>
      <c r="E31" t="s">
        <v>121</v>
      </c>
      <c r="H31" s="37" t="s">
        <v>187</v>
      </c>
    </row>
    <row r="32" spans="2:20" ht="18" x14ac:dyDescent="0.35">
      <c r="B32" s="4" t="s">
        <v>48</v>
      </c>
      <c r="C32">
        <f>VLOOKUP(Input!$C$26,BSFData,(27))</f>
        <v>450</v>
      </c>
      <c r="D32" t="s">
        <v>16</v>
      </c>
      <c r="E32" t="s">
        <v>121</v>
      </c>
    </row>
    <row r="33" spans="2:20" ht="18" x14ac:dyDescent="0.35">
      <c r="B33" s="4" t="s">
        <v>49</v>
      </c>
      <c r="C33">
        <f>VLOOKUP(Input!$C$26,BSFData,(28))</f>
        <v>300</v>
      </c>
      <c r="D33" t="s">
        <v>16</v>
      </c>
      <c r="E33" t="s">
        <v>121</v>
      </c>
    </row>
    <row r="34" spans="2:20" x14ac:dyDescent="0.25">
      <c r="B34" s="4" t="s">
        <v>165</v>
      </c>
      <c r="C34">
        <f>VLOOKUP(Input!$C$26,BSFData,(29))</f>
        <v>100</v>
      </c>
      <c r="D34" t="s">
        <v>16</v>
      </c>
      <c r="E34" t="s">
        <v>121</v>
      </c>
    </row>
    <row r="35" spans="2:20" ht="18" x14ac:dyDescent="0.35">
      <c r="B35" s="4" t="s">
        <v>166</v>
      </c>
      <c r="C35">
        <f>VLOOKUP(Input!$C$26,BSFData,(30))</f>
        <v>195</v>
      </c>
      <c r="D35" t="s">
        <v>16</v>
      </c>
      <c r="E35" t="s">
        <v>121</v>
      </c>
    </row>
    <row r="36" spans="2:20" ht="18" x14ac:dyDescent="0.35">
      <c r="B36" s="4" t="s">
        <v>167</v>
      </c>
      <c r="C36">
        <f>VLOOKUP(Input!$C$26,BSFData,(31))</f>
        <v>20</v>
      </c>
      <c r="D36" t="s">
        <v>16</v>
      </c>
      <c r="E36" t="s">
        <v>121</v>
      </c>
    </row>
    <row r="37" spans="2:20" ht="18" x14ac:dyDescent="0.35">
      <c r="B37" s="4" t="s">
        <v>24</v>
      </c>
      <c r="C37">
        <f>VLOOKUP(Input!$C$26,BSFData,(32))</f>
        <v>30</v>
      </c>
      <c r="D37" t="s">
        <v>16</v>
      </c>
      <c r="E37" t="s">
        <v>121</v>
      </c>
    </row>
    <row r="38" spans="2:20" ht="18" x14ac:dyDescent="0.35">
      <c r="B38" s="4" t="s">
        <v>55</v>
      </c>
      <c r="C38">
        <f>VLOOKUP(Input!$C$26,BSFData,(33))</f>
        <v>76</v>
      </c>
      <c r="D38" t="s">
        <v>16</v>
      </c>
      <c r="E38" t="s">
        <v>121</v>
      </c>
    </row>
    <row r="39" spans="2:20" ht="18" x14ac:dyDescent="0.35">
      <c r="B39" s="4" t="s">
        <v>56</v>
      </c>
      <c r="C39">
        <f>VLOOKUP(Input!$C$26,BSFData,(34))</f>
        <v>76</v>
      </c>
      <c r="D39" t="s">
        <v>16</v>
      </c>
      <c r="E39" t="s">
        <v>121</v>
      </c>
    </row>
    <row r="40" spans="2:20" x14ac:dyDescent="0.25">
      <c r="B40" s="4"/>
    </row>
    <row r="41" spans="2:20" ht="15.75" thickBot="1" x14ac:dyDescent="0.3">
      <c r="B41" s="41" t="s">
        <v>129</v>
      </c>
      <c r="C41" s="45"/>
      <c r="D41" s="42"/>
      <c r="E41" s="42"/>
      <c r="F41" s="42"/>
      <c r="G41" s="42"/>
      <c r="H41" s="42"/>
      <c r="I41" s="42"/>
      <c r="J41" s="42"/>
      <c r="K41" s="42"/>
      <c r="L41" s="42"/>
      <c r="M41" s="42"/>
      <c r="N41" s="42"/>
      <c r="O41" s="42"/>
      <c r="P41" s="42"/>
      <c r="Q41" s="42"/>
      <c r="R41" s="42"/>
      <c r="S41" s="42"/>
      <c r="T41" s="42"/>
    </row>
    <row r="42" spans="2:20" ht="18" x14ac:dyDescent="0.35">
      <c r="B42" s="4" t="s">
        <v>29</v>
      </c>
      <c r="C42" s="77">
        <v>1.5</v>
      </c>
      <c r="D42" t="s">
        <v>17</v>
      </c>
      <c r="E42" s="15" t="s">
        <v>43</v>
      </c>
    </row>
    <row r="43" spans="2:20" ht="18" x14ac:dyDescent="0.35">
      <c r="B43" s="4" t="s">
        <v>30</v>
      </c>
      <c r="C43" s="77">
        <v>0.85</v>
      </c>
      <c r="D43" t="s">
        <v>17</v>
      </c>
      <c r="E43" s="15" t="s">
        <v>148</v>
      </c>
    </row>
    <row r="44" spans="2:20" ht="18" x14ac:dyDescent="0.35">
      <c r="B44" s="4" t="s">
        <v>31</v>
      </c>
      <c r="C44" s="77">
        <v>0.85</v>
      </c>
      <c r="D44" t="s">
        <v>17</v>
      </c>
      <c r="E44" s="15" t="s">
        <v>148</v>
      </c>
    </row>
    <row r="45" spans="2:20" ht="18" x14ac:dyDescent="0.35">
      <c r="B45" s="4" t="s">
        <v>34</v>
      </c>
      <c r="C45" s="77">
        <v>1.1499999999999999</v>
      </c>
      <c r="D45" t="s">
        <v>17</v>
      </c>
      <c r="E45" s="15" t="s">
        <v>44</v>
      </c>
    </row>
    <row r="46" spans="2:20" x14ac:dyDescent="0.25">
      <c r="B46" s="4"/>
      <c r="C46" s="15"/>
      <c r="E46" s="15"/>
    </row>
    <row r="47" spans="2:20" ht="15.75" thickBot="1" x14ac:dyDescent="0.3">
      <c r="B47" s="44" t="s">
        <v>130</v>
      </c>
      <c r="C47" s="45"/>
      <c r="D47" s="42"/>
      <c r="E47" s="42"/>
      <c r="F47" s="42"/>
      <c r="G47" s="42"/>
      <c r="H47" s="42"/>
      <c r="I47" s="42"/>
      <c r="J47" s="42"/>
      <c r="K47" s="42"/>
      <c r="L47" s="42"/>
      <c r="M47" s="42"/>
      <c r="N47" s="42"/>
      <c r="O47" s="42"/>
      <c r="P47" s="42"/>
      <c r="Q47" s="42"/>
      <c r="R47" s="42"/>
      <c r="S47" s="42"/>
      <c r="T47" s="42"/>
    </row>
    <row r="48" spans="2:20" x14ac:dyDescent="0.25">
      <c r="B48" s="4" t="s">
        <v>15</v>
      </c>
      <c r="C48" s="78" t="s">
        <v>9</v>
      </c>
      <c r="D48" t="s">
        <v>17</v>
      </c>
      <c r="E48" s="15" t="s">
        <v>45</v>
      </c>
    </row>
    <row r="49" spans="2:18" x14ac:dyDescent="0.25">
      <c r="B49" s="4" t="s">
        <v>36</v>
      </c>
      <c r="C49" s="77">
        <v>450</v>
      </c>
      <c r="D49" t="s">
        <v>16</v>
      </c>
      <c r="E49" s="15" t="s">
        <v>148</v>
      </c>
      <c r="G49" s="4" t="s">
        <v>112</v>
      </c>
      <c r="H49" s="7" t="str">
        <f>IF(C49&lt;C32,"WARNING: The selected beam height is less than recommended minimum. This may give problem with sufficient space for the reinforcment","")</f>
        <v/>
      </c>
    </row>
    <row r="50" spans="2:18" x14ac:dyDescent="0.25">
      <c r="B50" s="4" t="s">
        <v>37</v>
      </c>
      <c r="C50" s="77">
        <v>300</v>
      </c>
      <c r="D50" t="s">
        <v>16</v>
      </c>
      <c r="E50" s="15" t="s">
        <v>148</v>
      </c>
      <c r="G50" s="4" t="s">
        <v>112</v>
      </c>
      <c r="H50" s="7" t="str">
        <f>IF(C50&lt;C33,"WARNING: The selected beam width is less than recommended minimum. This may give problem with sufficient space for the reinforcment, see also help calculation below","")</f>
        <v/>
      </c>
    </row>
    <row r="51" spans="2:18" x14ac:dyDescent="0.25">
      <c r="B51" s="4" t="s">
        <v>50</v>
      </c>
      <c r="C51" s="77">
        <v>376</v>
      </c>
      <c r="D51" t="s">
        <v>16</v>
      </c>
      <c r="E51" s="15" t="s">
        <v>148</v>
      </c>
      <c r="G51" s="4" t="s">
        <v>112</v>
      </c>
      <c r="H51" s="7" t="str">
        <f>IF(d&gt;(h-cc-Østirrup-Ømain),"WARNING: The value of d is probably wrong","")</f>
        <v/>
      </c>
    </row>
    <row r="52" spans="2:18" x14ac:dyDescent="0.25">
      <c r="B52" s="4" t="s">
        <v>157</v>
      </c>
      <c r="C52" s="77">
        <v>30</v>
      </c>
      <c r="D52" t="s">
        <v>16</v>
      </c>
      <c r="E52" s="15" t="s">
        <v>148</v>
      </c>
    </row>
    <row r="53" spans="2:18" ht="18" x14ac:dyDescent="0.35">
      <c r="B53" s="4" t="s">
        <v>168</v>
      </c>
      <c r="C53" s="77">
        <v>12</v>
      </c>
      <c r="D53" t="s">
        <v>16</v>
      </c>
      <c r="E53" s="15" t="s">
        <v>148</v>
      </c>
    </row>
    <row r="54" spans="2:18" ht="18" x14ac:dyDescent="0.35">
      <c r="B54" s="4" t="s">
        <v>125</v>
      </c>
      <c r="C54" s="77">
        <v>500</v>
      </c>
      <c r="D54" t="s">
        <v>6</v>
      </c>
      <c r="E54" s="15" t="s">
        <v>139</v>
      </c>
    </row>
    <row r="55" spans="2:18" x14ac:dyDescent="0.25">
      <c r="B55" s="4" t="s">
        <v>124</v>
      </c>
      <c r="C55" s="77">
        <v>20</v>
      </c>
      <c r="D55" t="s">
        <v>16</v>
      </c>
      <c r="E55" s="15" t="s">
        <v>134</v>
      </c>
    </row>
    <row r="56" spans="2:18" ht="18" x14ac:dyDescent="0.35">
      <c r="B56" s="4" t="s">
        <v>127</v>
      </c>
      <c r="C56" s="77">
        <v>25</v>
      </c>
      <c r="D56" t="s">
        <v>16</v>
      </c>
      <c r="E56" s="15" t="s">
        <v>42</v>
      </c>
    </row>
    <row r="57" spans="2:18" x14ac:dyDescent="0.25">
      <c r="B57" s="4"/>
      <c r="C57" s="15"/>
      <c r="E57" s="15"/>
    </row>
    <row r="58" spans="2:18" x14ac:dyDescent="0.25">
      <c r="B58" s="12" t="s">
        <v>90</v>
      </c>
      <c r="C58" s="15"/>
      <c r="E58" s="15"/>
    </row>
    <row r="59" spans="2:18" ht="18" x14ac:dyDescent="0.35">
      <c r="B59" s="4" t="s">
        <v>87</v>
      </c>
      <c r="C59" s="79">
        <v>1</v>
      </c>
      <c r="D59" t="s">
        <v>17</v>
      </c>
      <c r="E59" s="15" t="s">
        <v>135</v>
      </c>
    </row>
    <row r="60" spans="2:18" ht="18" x14ac:dyDescent="0.35">
      <c r="B60" s="4" t="s">
        <v>88</v>
      </c>
      <c r="C60" s="79">
        <v>1</v>
      </c>
      <c r="D60" t="s">
        <v>17</v>
      </c>
      <c r="E60" s="15" t="s">
        <v>148</v>
      </c>
      <c r="R60" s="5"/>
    </row>
    <row r="61" spans="2:18" x14ac:dyDescent="0.25">
      <c r="E61" s="15"/>
    </row>
    <row r="62" spans="2:18" x14ac:dyDescent="0.25">
      <c r="B62" s="12" t="s">
        <v>46</v>
      </c>
    </row>
    <row r="63" spans="2:18" ht="18" x14ac:dyDescent="0.35">
      <c r="B63" s="4" t="s">
        <v>35</v>
      </c>
      <c r="C63">
        <f>VLOOKUP($C$48,ConcreteValues,2)</f>
        <v>35</v>
      </c>
      <c r="D63" t="s">
        <v>6</v>
      </c>
      <c r="E63" t="s">
        <v>40</v>
      </c>
    </row>
    <row r="64" spans="2:18" ht="18" x14ac:dyDescent="0.35">
      <c r="B64" s="4" t="s">
        <v>39</v>
      </c>
      <c r="C64" s="2">
        <f>VLOOKUP($C$48,ConcreteValues,6)</f>
        <v>2.2000000000000002</v>
      </c>
      <c r="D64" t="s">
        <v>6</v>
      </c>
      <c r="E64" t="s">
        <v>40</v>
      </c>
    </row>
    <row r="65" spans="2:20" ht="18" x14ac:dyDescent="0.35">
      <c r="B65" s="4" t="s">
        <v>33</v>
      </c>
      <c r="C65" s="3">
        <f>alfaCC*fck/gammaC</f>
        <v>19.833333333333332</v>
      </c>
      <c r="D65" t="s">
        <v>6</v>
      </c>
      <c r="E65" t="s">
        <v>41</v>
      </c>
    </row>
    <row r="66" spans="2:20" ht="18" x14ac:dyDescent="0.35">
      <c r="B66" s="4" t="s">
        <v>89</v>
      </c>
      <c r="C66" s="2">
        <f>alfaCT*fctk005/gammaC</f>
        <v>1.2466666666666668</v>
      </c>
      <c r="D66" t="s">
        <v>6</v>
      </c>
      <c r="E66" t="s">
        <v>41</v>
      </c>
    </row>
    <row r="67" spans="2:20" ht="18" x14ac:dyDescent="0.35">
      <c r="B67" s="4" t="s">
        <v>86</v>
      </c>
      <c r="C67" s="2">
        <f>2.25*EtaEn*EtaTo*fctd</f>
        <v>2.8050000000000002</v>
      </c>
      <c r="D67" t="s">
        <v>6</v>
      </c>
      <c r="E67" t="s">
        <v>41</v>
      </c>
    </row>
    <row r="68" spans="2:20" x14ac:dyDescent="0.25">
      <c r="B68" s="12" t="s">
        <v>47</v>
      </c>
      <c r="C68" s="6"/>
      <c r="H68" s="37" t="s">
        <v>152</v>
      </c>
    </row>
    <row r="69" spans="2:20" ht="18" x14ac:dyDescent="0.35">
      <c r="B69" s="4" t="s">
        <v>38</v>
      </c>
      <c r="C69" s="13">
        <f>fyk/gammaS</f>
        <v>434.78260869565219</v>
      </c>
      <c r="D69" t="s">
        <v>6</v>
      </c>
      <c r="E69" t="s">
        <v>41</v>
      </c>
      <c r="I69" s="37" t="s">
        <v>170</v>
      </c>
    </row>
    <row r="70" spans="2:20" x14ac:dyDescent="0.25">
      <c r="B70" s="4"/>
      <c r="C70" s="13"/>
      <c r="I70" s="37" t="s">
        <v>133</v>
      </c>
      <c r="J70" s="8"/>
      <c r="K70" s="8"/>
      <c r="L70" s="8"/>
      <c r="M70" s="8"/>
      <c r="N70" s="8"/>
      <c r="O70" s="8"/>
      <c r="P70" s="64">
        <f>2*cc+2*VLOOKUP(Østirrup,'Table-Reinforcement'!B5:C11,2)+2*VLOOKUP(Ømain,'Table-Reinforcement'!B5:C11,2)+2*xSpacing+2*VLOOKUP(ØfrontType1,'Table-Reinforcement'!B5:C11,2)*(nobFrontType1-1)+Øhrsfront</f>
        <v>310</v>
      </c>
      <c r="Q70" s="60" t="s">
        <v>16</v>
      </c>
      <c r="R70" s="60" t="s">
        <v>41</v>
      </c>
    </row>
    <row r="71" spans="2:20" x14ac:dyDescent="0.25">
      <c r="B71" s="4"/>
      <c r="C71" s="13"/>
      <c r="I71" s="37"/>
      <c r="J71" s="8"/>
      <c r="K71" s="8"/>
      <c r="L71" s="8"/>
      <c r="M71" s="8"/>
      <c r="N71" s="8"/>
      <c r="O71" s="8"/>
      <c r="P71" s="64"/>
      <c r="Q71" s="60"/>
      <c r="R71" s="60"/>
    </row>
    <row r="72" spans="2:20" ht="15.75" thickBot="1" x14ac:dyDescent="0.3">
      <c r="B72" s="41" t="s">
        <v>131</v>
      </c>
      <c r="C72" s="42"/>
      <c r="D72" s="42"/>
      <c r="E72" s="42"/>
      <c r="F72" s="42"/>
      <c r="G72" s="42"/>
      <c r="H72" s="42"/>
      <c r="I72" s="42"/>
      <c r="J72" s="42"/>
      <c r="K72" s="42"/>
      <c r="L72" s="42"/>
      <c r="M72" s="42"/>
      <c r="N72" s="42"/>
      <c r="O72" s="42"/>
      <c r="P72" s="42"/>
      <c r="Q72" s="42"/>
      <c r="R72" s="42"/>
      <c r="S72" s="42"/>
      <c r="T72" s="42"/>
    </row>
    <row r="74" spans="2:20" x14ac:dyDescent="0.25">
      <c r="B74" s="40" t="s">
        <v>76</v>
      </c>
      <c r="C74" s="21"/>
      <c r="D74" s="21"/>
      <c r="E74" s="21"/>
      <c r="F74" s="21"/>
      <c r="G74" s="21"/>
      <c r="H74" s="23"/>
    </row>
    <row r="75" spans="2:20" ht="18" x14ac:dyDescent="0.35">
      <c r="B75" s="4" t="s">
        <v>64</v>
      </c>
      <c r="C75" s="3">
        <f>FvEd*(a+ce)/(ce-b)+0.2*FvEd*hknife/(ce-b)</f>
        <v>302.42424242424244</v>
      </c>
      <c r="D75" t="s">
        <v>14</v>
      </c>
      <c r="E75" t="s">
        <v>41</v>
      </c>
    </row>
    <row r="76" spans="2:20" ht="18" x14ac:dyDescent="0.35">
      <c r="B76" s="4" t="s">
        <v>65</v>
      </c>
      <c r="C76" s="3">
        <f>C75-FvEd</f>
        <v>102.42424242424244</v>
      </c>
      <c r="D76" t="s">
        <v>14</v>
      </c>
      <c r="E76" t="s">
        <v>41</v>
      </c>
    </row>
    <row r="78" spans="2:20" ht="18.75" x14ac:dyDescent="0.35">
      <c r="B78" s="4" t="s">
        <v>119</v>
      </c>
      <c r="C78" s="27">
        <f>C75*1000/$C$69</f>
        <v>695.57575757575762</v>
      </c>
      <c r="D78" t="s">
        <v>66</v>
      </c>
      <c r="E78" t="s">
        <v>41</v>
      </c>
      <c r="F78" s="14"/>
      <c r="G78" s="7"/>
      <c r="H78" s="37" t="s">
        <v>140</v>
      </c>
      <c r="N78" s="61" t="str">
        <f>VLOOKUP(Input!$C$26,BSFData,(35))</f>
        <v>2ø16 stirrups. As=804mm2</v>
      </c>
    </row>
    <row r="79" spans="2:20" ht="18.75" x14ac:dyDescent="0.35">
      <c r="B79" s="4" t="s">
        <v>120</v>
      </c>
      <c r="C79" s="27">
        <f>C76*1000/$C$69</f>
        <v>235.57575757575759</v>
      </c>
      <c r="D79" t="s">
        <v>66</v>
      </c>
      <c r="E79" t="s">
        <v>41</v>
      </c>
      <c r="F79" s="14"/>
      <c r="G79" s="7"/>
      <c r="H79" s="37" t="s">
        <v>141</v>
      </c>
      <c r="N79" s="61" t="str">
        <f>VLOOKUP(Input!$C$26,BSFData,(36))</f>
        <v>2ø10stirrups. As=314mm2</v>
      </c>
    </row>
    <row r="80" spans="2:20" x14ac:dyDescent="0.25">
      <c r="K80" s="4"/>
    </row>
    <row r="81" spans="2:22" x14ac:dyDescent="0.25">
      <c r="B81" s="40" t="s">
        <v>83</v>
      </c>
      <c r="C81" s="21"/>
      <c r="D81" s="21"/>
      <c r="E81" s="21"/>
      <c r="F81" s="21"/>
      <c r="G81" s="21"/>
      <c r="H81" s="23"/>
      <c r="K81" s="4"/>
    </row>
    <row r="82" spans="2:22" x14ac:dyDescent="0.25">
      <c r="C82" s="16"/>
      <c r="D82" s="16"/>
      <c r="F82" s="16"/>
      <c r="I82" s="26"/>
      <c r="J82" s="26"/>
      <c r="K82" s="26"/>
      <c r="L82" s="26"/>
      <c r="M82" s="26"/>
      <c r="N82" s="26"/>
      <c r="O82" s="26"/>
      <c r="P82" s="26"/>
      <c r="Q82" s="26"/>
      <c r="R82" s="26"/>
      <c r="S82" s="26"/>
      <c r="T82" s="26"/>
    </row>
    <row r="83" spans="2:22" x14ac:dyDescent="0.25">
      <c r="B83" s="39" t="s">
        <v>85</v>
      </c>
      <c r="F83" s="16"/>
    </row>
    <row r="84" spans="2:22" ht="16.5" customHeight="1" x14ac:dyDescent="0.25">
      <c r="B84" s="4" t="s">
        <v>142</v>
      </c>
      <c r="C84" s="78">
        <v>16</v>
      </c>
      <c r="D84" s="16" t="s">
        <v>16</v>
      </c>
      <c r="E84" s="15" t="s">
        <v>42</v>
      </c>
      <c r="H84" s="36" t="s">
        <v>174</v>
      </c>
      <c r="I84" s="26"/>
      <c r="J84" s="26"/>
      <c r="K84" s="26"/>
      <c r="L84" s="26"/>
      <c r="M84" s="26"/>
      <c r="N84" s="26"/>
      <c r="O84" s="26"/>
      <c r="P84" s="26"/>
      <c r="Q84" s="26"/>
      <c r="R84" s="26"/>
      <c r="S84" s="26"/>
      <c r="T84" s="26"/>
      <c r="U84" s="26"/>
      <c r="V84" s="26"/>
    </row>
    <row r="85" spans="2:22" ht="16.5" customHeight="1" x14ac:dyDescent="0.25">
      <c r="B85" s="4" t="s">
        <v>117</v>
      </c>
      <c r="C85" s="78">
        <v>2</v>
      </c>
      <c r="D85" s="16" t="s">
        <v>17</v>
      </c>
      <c r="E85" s="15" t="s">
        <v>148</v>
      </c>
      <c r="F85" s="17"/>
      <c r="G85" s="15"/>
      <c r="H85" s="36" t="s">
        <v>147</v>
      </c>
      <c r="I85" s="62"/>
      <c r="J85" s="62"/>
      <c r="K85" s="62"/>
      <c r="L85" s="62"/>
      <c r="M85" s="63"/>
      <c r="N85" s="62"/>
      <c r="O85" s="62"/>
      <c r="P85" s="26"/>
      <c r="Q85" s="26"/>
      <c r="R85" s="26"/>
      <c r="S85" s="26"/>
      <c r="T85" s="26"/>
      <c r="U85" s="26"/>
      <c r="V85" s="26"/>
    </row>
    <row r="86" spans="2:22" ht="18.75" x14ac:dyDescent="0.35">
      <c r="B86" s="28" t="s">
        <v>122</v>
      </c>
      <c r="C86" s="53">
        <f>PI()*C84^2/4*C85*2</f>
        <v>804.24771931898704</v>
      </c>
      <c r="D86" s="16" t="s">
        <v>66</v>
      </c>
      <c r="E86" t="s">
        <v>41</v>
      </c>
      <c r="F86" s="17"/>
      <c r="G86" s="4" t="s">
        <v>112</v>
      </c>
      <c r="H86" s="30" t="str">
        <f>IF(C86&lt;C78,"WARNING: Insufficient amount of front anchoring reinforcement","")</f>
        <v/>
      </c>
      <c r="I86" s="23"/>
    </row>
    <row r="87" spans="2:22" x14ac:dyDescent="0.25">
      <c r="B87" s="28"/>
      <c r="C87" s="23"/>
      <c r="D87" s="23"/>
      <c r="E87" s="31"/>
      <c r="F87" s="30"/>
      <c r="G87" s="23"/>
      <c r="H87" s="23"/>
      <c r="I87" s="23"/>
    </row>
    <row r="88" spans="2:22" ht="18" x14ac:dyDescent="0.35">
      <c r="B88" s="28" t="s">
        <v>77</v>
      </c>
      <c r="C88" s="27">
        <f>Rvo*1000/((w-wrecessbox)*0.6*(1-fck/250)*fcd*0.5)</f>
        <v>218.89579573118107</v>
      </c>
      <c r="D88" t="s">
        <v>16</v>
      </c>
      <c r="E88" t="s">
        <v>41</v>
      </c>
      <c r="H88" s="27" t="s">
        <v>172</v>
      </c>
    </row>
    <row r="89" spans="2:22" ht="18" x14ac:dyDescent="0.35">
      <c r="B89" s="28" t="s">
        <v>161</v>
      </c>
      <c r="C89" s="78">
        <v>250</v>
      </c>
      <c r="D89" t="s">
        <v>16</v>
      </c>
      <c r="E89" s="15" t="s">
        <v>42</v>
      </c>
      <c r="G89" s="4" t="s">
        <v>112</v>
      </c>
      <c r="H89" s="30" t="str">
        <f>IF(ØmfSelected&lt;ØmfMin,"WARNING: Insufficient mandrel diameter","")</f>
        <v/>
      </c>
    </row>
    <row r="90" spans="2:22" ht="18" x14ac:dyDescent="0.35">
      <c r="B90" s="28" t="s">
        <v>91</v>
      </c>
      <c r="C90" s="13">
        <f>Rvo*1000/AsFrontSelected</f>
        <v>376.03369603624895</v>
      </c>
      <c r="D90" t="s">
        <v>6</v>
      </c>
      <c r="E90" t="s">
        <v>41</v>
      </c>
    </row>
    <row r="91" spans="2:22" ht="18" x14ac:dyDescent="0.35">
      <c r="B91" s="4" t="s">
        <v>78</v>
      </c>
      <c r="C91" s="79">
        <v>1</v>
      </c>
      <c r="D91" t="s">
        <v>17</v>
      </c>
      <c r="E91" s="29" t="s">
        <v>92</v>
      </c>
    </row>
    <row r="92" spans="2:22" ht="18" x14ac:dyDescent="0.35">
      <c r="B92" s="4" t="s">
        <v>79</v>
      </c>
      <c r="C92" s="79">
        <v>1</v>
      </c>
      <c r="D92" t="s">
        <v>17</v>
      </c>
      <c r="E92" s="29" t="s">
        <v>148</v>
      </c>
    </row>
    <row r="93" spans="2:22" ht="18" x14ac:dyDescent="0.35">
      <c r="B93" s="4" t="s">
        <v>80</v>
      </c>
      <c r="C93" s="79">
        <v>1</v>
      </c>
      <c r="D93" t="s">
        <v>17</v>
      </c>
      <c r="E93" s="29" t="s">
        <v>148</v>
      </c>
      <c r="G93" s="4" t="s">
        <v>112</v>
      </c>
      <c r="H93" s="7" t="str">
        <f>IF(alfa2*alfa3*alfa5&lt;0.7,"WARNING: The product of a2xa3xa5 is too small, see EC2","")</f>
        <v/>
      </c>
    </row>
    <row r="94" spans="2:22" ht="18" x14ac:dyDescent="0.35">
      <c r="B94" s="4" t="s">
        <v>81</v>
      </c>
      <c r="C94" s="79">
        <v>1</v>
      </c>
      <c r="D94" t="s">
        <v>17</v>
      </c>
      <c r="E94" s="29" t="s">
        <v>148</v>
      </c>
    </row>
    <row r="95" spans="2:22" ht="18" x14ac:dyDescent="0.35">
      <c r="B95" s="4" t="s">
        <v>82</v>
      </c>
      <c r="C95" s="79">
        <v>1</v>
      </c>
      <c r="D95" t="s">
        <v>17</v>
      </c>
      <c r="E95" s="29" t="s">
        <v>148</v>
      </c>
    </row>
    <row r="96" spans="2:22" ht="18" x14ac:dyDescent="0.35">
      <c r="B96" s="4" t="s">
        <v>93</v>
      </c>
      <c r="C96" s="79">
        <v>1.5</v>
      </c>
      <c r="D96" t="s">
        <v>17</v>
      </c>
      <c r="E96" s="29" t="s">
        <v>148</v>
      </c>
    </row>
    <row r="97" spans="2:13" x14ac:dyDescent="0.25">
      <c r="B97" s="51" t="s">
        <v>153</v>
      </c>
      <c r="C97" s="32"/>
      <c r="D97" s="29"/>
      <c r="E97" s="27"/>
    </row>
    <row r="98" spans="2:13" ht="18" x14ac:dyDescent="0.35">
      <c r="B98" s="4" t="s">
        <v>94</v>
      </c>
      <c r="C98" s="34">
        <f>ØfrontType1*SigmaAsfront/(4*fbd)</f>
        <v>536.23343463279707</v>
      </c>
      <c r="D98" t="s">
        <v>16</v>
      </c>
      <c r="E98" t="s">
        <v>41</v>
      </c>
    </row>
    <row r="99" spans="2:13" ht="18" x14ac:dyDescent="0.35">
      <c r="B99" s="4" t="s">
        <v>95</v>
      </c>
      <c r="C99" s="34">
        <f>alfa1*alfa2*alfa3*alfa4*alfa5*lbreqd</f>
        <v>536.23343463279707</v>
      </c>
      <c r="D99" t="s">
        <v>16</v>
      </c>
      <c r="E99" t="s">
        <v>41</v>
      </c>
    </row>
    <row r="100" spans="2:13" ht="18" x14ac:dyDescent="0.35">
      <c r="B100" s="4" t="s">
        <v>97</v>
      </c>
      <c r="C100" s="34">
        <f>MAXA(0.3*lbreqd,10*ØfrontType1,100)</f>
        <v>160.87003038983912</v>
      </c>
      <c r="D100" t="s">
        <v>16</v>
      </c>
      <c r="E100" t="s">
        <v>41</v>
      </c>
      <c r="F100" s="34"/>
    </row>
    <row r="101" spans="2:13" ht="18" customHeight="1" x14ac:dyDescent="0.35">
      <c r="B101" s="4" t="s">
        <v>96</v>
      </c>
      <c r="C101" s="27">
        <f>alfa1*alfa2*alfa3*alfa5*alfa6*lbd</f>
        <v>804.35015194919561</v>
      </c>
      <c r="D101" t="s">
        <v>16</v>
      </c>
      <c r="E101" t="s">
        <v>41</v>
      </c>
      <c r="H101" s="36" t="s">
        <v>154</v>
      </c>
    </row>
    <row r="102" spans="2:13" ht="18" x14ac:dyDescent="0.35">
      <c r="B102" s="4" t="s">
        <v>98</v>
      </c>
      <c r="C102" s="34">
        <f>MAXA(0.3*alfa6*lbreqd,15*ØfrontType1,200)</f>
        <v>241.30504558475866</v>
      </c>
      <c r="D102" t="s">
        <v>16</v>
      </c>
      <c r="E102" t="s">
        <v>41</v>
      </c>
      <c r="F102" s="34"/>
      <c r="H102" s="73" t="s">
        <v>155</v>
      </c>
    </row>
    <row r="103" spans="2:13" x14ac:dyDescent="0.25">
      <c r="B103" s="4"/>
      <c r="C103" s="34"/>
      <c r="F103" s="34"/>
      <c r="H103" s="36"/>
    </row>
    <row r="104" spans="2:13" x14ac:dyDescent="0.25">
      <c r="B104" s="33" t="s">
        <v>84</v>
      </c>
      <c r="C104" s="23"/>
      <c r="D104" s="23"/>
      <c r="E104" s="10"/>
      <c r="F104" s="23"/>
      <c r="G104" s="23"/>
      <c r="H104" s="23"/>
    </row>
    <row r="105" spans="2:13" x14ac:dyDescent="0.25">
      <c r="B105" s="28" t="s">
        <v>143</v>
      </c>
      <c r="C105" s="80">
        <v>16</v>
      </c>
      <c r="D105" s="17" t="s">
        <v>16</v>
      </c>
      <c r="E105" s="29" t="s">
        <v>42</v>
      </c>
      <c r="F105" s="17"/>
      <c r="H105" s="36" t="s">
        <v>173</v>
      </c>
    </row>
    <row r="106" spans="2:13" x14ac:dyDescent="0.25">
      <c r="B106" s="4" t="s">
        <v>118</v>
      </c>
      <c r="C106" s="80">
        <v>2</v>
      </c>
      <c r="D106" s="17" t="s">
        <v>17</v>
      </c>
      <c r="E106" s="29" t="s">
        <v>148</v>
      </c>
      <c r="F106" s="17"/>
      <c r="H106" s="36" t="s">
        <v>149</v>
      </c>
      <c r="M106" s="25"/>
    </row>
    <row r="107" spans="2:13" x14ac:dyDescent="0.25">
      <c r="B107" s="28" t="s">
        <v>144</v>
      </c>
      <c r="C107" s="80">
        <v>0</v>
      </c>
      <c r="D107" s="17" t="s">
        <v>16</v>
      </c>
      <c r="E107" s="29" t="s">
        <v>148</v>
      </c>
      <c r="F107" s="17"/>
    </row>
    <row r="108" spans="2:13" x14ac:dyDescent="0.25">
      <c r="B108" s="4" t="s">
        <v>145</v>
      </c>
      <c r="C108" s="80">
        <v>0</v>
      </c>
      <c r="D108" s="17" t="s">
        <v>17</v>
      </c>
      <c r="E108" s="29" t="s">
        <v>148</v>
      </c>
      <c r="F108" s="17"/>
      <c r="H108" s="30"/>
    </row>
    <row r="109" spans="2:13" ht="18.75" x14ac:dyDescent="0.35">
      <c r="B109" s="28" t="s">
        <v>123</v>
      </c>
      <c r="C109" s="52">
        <f>PI()*ØbackType1^2/4*nobBackType1*2+PI()*ØbackType2^2/4*nobBackType2*2</f>
        <v>804.24771931898704</v>
      </c>
      <c r="D109" s="17" t="s">
        <v>66</v>
      </c>
      <c r="E109" t="s">
        <v>41</v>
      </c>
      <c r="F109" s="17"/>
      <c r="G109" s="4" t="s">
        <v>112</v>
      </c>
      <c r="H109" s="30" t="str">
        <f>IF(C109&lt;C79,"WARNING: Insufficient amount of rear anchoring reinforcement","")</f>
        <v/>
      </c>
    </row>
    <row r="110" spans="2:13" x14ac:dyDescent="0.25">
      <c r="C110" s="23"/>
      <c r="D110" s="23"/>
      <c r="E110" s="31"/>
      <c r="F110" s="17"/>
      <c r="H110" s="30"/>
    </row>
    <row r="111" spans="2:13" ht="18" x14ac:dyDescent="0.35">
      <c r="B111" s="28" t="s">
        <v>146</v>
      </c>
      <c r="C111" s="27">
        <f>Rvu*1000/((w-wrecessbox)*0.6*(1-fck/250)*fcd*0.5)</f>
        <v>74.135049055249709</v>
      </c>
      <c r="D111" t="s">
        <v>16</v>
      </c>
      <c r="E111" t="s">
        <v>41</v>
      </c>
      <c r="H111" s="27" t="s">
        <v>175</v>
      </c>
    </row>
    <row r="113" spans="2:20" ht="15.75" thickBot="1" x14ac:dyDescent="0.3">
      <c r="B113" s="41" t="s">
        <v>132</v>
      </c>
      <c r="C113" s="42"/>
      <c r="D113" s="42"/>
      <c r="E113" s="42"/>
      <c r="F113" s="42"/>
      <c r="G113" s="42"/>
      <c r="H113" s="42"/>
      <c r="I113" s="42"/>
      <c r="J113" s="42"/>
      <c r="K113" s="42"/>
      <c r="L113" s="42"/>
      <c r="M113" s="42"/>
      <c r="N113" s="42"/>
      <c r="O113" s="42"/>
      <c r="P113" s="42"/>
      <c r="Q113" s="42"/>
      <c r="R113" s="42"/>
      <c r="S113" s="42"/>
      <c r="T113" s="42"/>
    </row>
    <row r="114" spans="2:20" x14ac:dyDescent="0.25">
      <c r="B114" s="47"/>
      <c r="C114" s="23"/>
      <c r="D114" s="23"/>
      <c r="E114" s="23"/>
      <c r="F114" s="23"/>
      <c r="G114" s="23"/>
      <c r="H114" s="23"/>
      <c r="I114" s="23"/>
      <c r="J114" s="23"/>
      <c r="K114" s="23"/>
      <c r="L114" s="23"/>
      <c r="M114" s="23"/>
      <c r="N114" s="23"/>
      <c r="O114" s="23"/>
      <c r="P114" s="23"/>
      <c r="Q114" s="23"/>
      <c r="R114" s="23"/>
      <c r="S114" s="23"/>
      <c r="T114" s="23"/>
    </row>
    <row r="115" spans="2:20" ht="18" x14ac:dyDescent="0.35">
      <c r="B115" s="48" t="s">
        <v>107</v>
      </c>
      <c r="C115" s="49">
        <f>Rvo</f>
        <v>302.42424242424244</v>
      </c>
      <c r="D115" t="s">
        <v>14</v>
      </c>
      <c r="E115" t="s">
        <v>41</v>
      </c>
      <c r="F115" s="23"/>
      <c r="G115" s="23"/>
      <c r="H115" s="23"/>
      <c r="I115" s="23"/>
      <c r="J115" s="23"/>
      <c r="K115" s="23"/>
      <c r="L115" s="23"/>
      <c r="M115" s="23"/>
      <c r="N115" s="23"/>
      <c r="O115" s="23"/>
      <c r="P115" s="23"/>
      <c r="Q115" s="23"/>
      <c r="R115" s="23"/>
      <c r="S115" s="23"/>
      <c r="T115" s="23"/>
    </row>
    <row r="116" spans="2:20" ht="18" x14ac:dyDescent="0.35">
      <c r="B116" s="4" t="s">
        <v>102</v>
      </c>
      <c r="C116" s="79">
        <v>1</v>
      </c>
      <c r="D116" t="s">
        <v>17</v>
      </c>
      <c r="E116" s="29" t="s">
        <v>106</v>
      </c>
      <c r="H116" s="35" t="s">
        <v>113</v>
      </c>
    </row>
    <row r="117" spans="2:20" ht="18" x14ac:dyDescent="0.35">
      <c r="B117" s="4" t="s">
        <v>105</v>
      </c>
      <c r="C117" s="81">
        <v>0.51600000000000001</v>
      </c>
      <c r="D117" t="s">
        <v>17</v>
      </c>
      <c r="E117" s="29" t="s">
        <v>148</v>
      </c>
      <c r="H117" s="35" t="s">
        <v>176</v>
      </c>
      <c r="M117" s="66">
        <f>0.6*(1-fck/250)</f>
        <v>0.51600000000000001</v>
      </c>
      <c r="N117" s="65" t="s">
        <v>41</v>
      </c>
    </row>
    <row r="118" spans="2:20" ht="18" x14ac:dyDescent="0.35">
      <c r="B118" s="4" t="s">
        <v>103</v>
      </c>
      <c r="C118">
        <f>w-wrecessbox</f>
        <v>270</v>
      </c>
      <c r="D118" t="s">
        <v>16</v>
      </c>
      <c r="E118" t="s">
        <v>41</v>
      </c>
    </row>
    <row r="119" spans="2:20" x14ac:dyDescent="0.25">
      <c r="B119" s="4" t="s">
        <v>104</v>
      </c>
      <c r="C119" s="34">
        <f>0.9*d</f>
        <v>338.40000000000003</v>
      </c>
      <c r="D119" t="s">
        <v>108</v>
      </c>
      <c r="E119" t="s">
        <v>41</v>
      </c>
      <c r="H119" s="35" t="s">
        <v>109</v>
      </c>
    </row>
    <row r="120" spans="2:20" x14ac:dyDescent="0.25">
      <c r="B120" s="4"/>
      <c r="C120" s="34"/>
      <c r="H120" s="35"/>
    </row>
    <row r="121" spans="2:20" x14ac:dyDescent="0.25">
      <c r="B121" s="12" t="s">
        <v>110</v>
      </c>
    </row>
    <row r="122" spans="2:20" ht="18.75" x14ac:dyDescent="0.35">
      <c r="B122" s="4" t="s">
        <v>99</v>
      </c>
      <c r="C122" s="27">
        <f>VRds*1000000/(0.9*d*fsd)</f>
        <v>2055.4839171860449</v>
      </c>
      <c r="D122" t="s">
        <v>101</v>
      </c>
      <c r="E122" t="s">
        <v>41</v>
      </c>
      <c r="H122" s="27" t="s">
        <v>177</v>
      </c>
    </row>
    <row r="123" spans="2:20" ht="18" x14ac:dyDescent="0.35">
      <c r="B123" s="4" t="s">
        <v>100</v>
      </c>
      <c r="C123" s="76">
        <f>PI()*2*Østirrup^2/4/C122*1000</f>
        <v>110.04448595643859</v>
      </c>
      <c r="D123" t="s">
        <v>16</v>
      </c>
      <c r="E123" t="s">
        <v>41</v>
      </c>
      <c r="H123" s="27" t="s">
        <v>178</v>
      </c>
    </row>
    <row r="124" spans="2:20" x14ac:dyDescent="0.25">
      <c r="B124" s="4"/>
      <c r="C124" s="27"/>
      <c r="H124" s="27"/>
    </row>
    <row r="125" spans="2:20" x14ac:dyDescent="0.25">
      <c r="B125" s="12" t="s">
        <v>111</v>
      </c>
    </row>
    <row r="126" spans="2:20" ht="18" x14ac:dyDescent="0.35">
      <c r="B126" s="4" t="s">
        <v>114</v>
      </c>
      <c r="C126" s="27">
        <f>alfaCW*bw*z*YpsilonEn*fcd/2000</f>
        <v>467.53005600000006</v>
      </c>
      <c r="D126" t="s">
        <v>14</v>
      </c>
      <c r="E126" t="s">
        <v>41</v>
      </c>
    </row>
    <row r="127" spans="2:20" ht="15" customHeight="1" x14ac:dyDescent="0.25">
      <c r="B127" s="91" t="s">
        <v>156</v>
      </c>
      <c r="C127" s="83" t="str">
        <f>IF(C126&gt;VRds,"VRd,max &gt; VRd,s -&gt; This is OK","")</f>
        <v>VRd,max &gt; VRd,s -&gt; This is OK</v>
      </c>
    </row>
    <row r="128" spans="2:20" x14ac:dyDescent="0.25">
      <c r="B128" s="91"/>
      <c r="C128" s="85" t="str">
        <f>IF(C126&gt;VRds,"","WARNING: BEAM NOT OK. Shear compression failure")</f>
        <v/>
      </c>
    </row>
    <row r="129" spans="2:20" x14ac:dyDescent="0.25">
      <c r="B129" s="75"/>
      <c r="C129" s="7"/>
    </row>
    <row r="130" spans="2:20" x14ac:dyDescent="0.25">
      <c r="B130" s="82" t="s">
        <v>160</v>
      </c>
    </row>
    <row r="131" spans="2:20" x14ac:dyDescent="0.25">
      <c r="B131" s="75" t="s">
        <v>163</v>
      </c>
      <c r="C131" s="27">
        <f>((ce-b)+ØmfSelected/2)/0.9+2*cc</f>
        <v>565.55555555555554</v>
      </c>
      <c r="D131" t="s">
        <v>16</v>
      </c>
      <c r="E131" t="s">
        <v>41</v>
      </c>
    </row>
    <row r="132" spans="2:20" x14ac:dyDescent="0.25">
      <c r="B132" s="91" t="s">
        <v>164</v>
      </c>
      <c r="C132" s="83" t="str">
        <f>IF(h&lt;$C$131, " Horizontal bars are not required for the selected beam","")</f>
        <v xml:space="preserve"> Horizontal bars are not required for the selected beam</v>
      </c>
      <c r="H132" s="83"/>
    </row>
    <row r="133" spans="2:20" x14ac:dyDescent="0.25">
      <c r="B133" s="91"/>
      <c r="C133" s="84" t="str">
        <f>IF(h&gt;$C$131, "Horizontal bars are required for the selected beam","")</f>
        <v/>
      </c>
      <c r="H133" s="83"/>
    </row>
    <row r="134" spans="2:20" ht="18.75" x14ac:dyDescent="0.35">
      <c r="B134" s="4" t="s">
        <v>162</v>
      </c>
      <c r="C134" s="27">
        <f>Rvu*1000000/(z*fsd)</f>
        <v>696.14585572032388</v>
      </c>
      <c r="D134" t="s">
        <v>101</v>
      </c>
      <c r="E134" t="s">
        <v>41</v>
      </c>
      <c r="H134" s="27" t="s">
        <v>179</v>
      </c>
    </row>
    <row r="135" spans="2:20" x14ac:dyDescent="0.25">
      <c r="B135" s="75"/>
      <c r="C135" s="7"/>
    </row>
    <row r="136" spans="2:20" ht="15.75" thickBot="1" x14ac:dyDescent="0.3">
      <c r="B136" s="74"/>
      <c r="C136" s="42"/>
      <c r="D136" s="42"/>
      <c r="E136" s="42"/>
      <c r="F136" s="42"/>
      <c r="G136" s="42"/>
      <c r="H136" s="42"/>
      <c r="I136" s="42"/>
      <c r="J136" s="42"/>
      <c r="K136" s="42"/>
      <c r="L136" s="42"/>
      <c r="M136" s="42"/>
      <c r="N136" s="42"/>
      <c r="O136" s="42"/>
      <c r="P136" s="42"/>
      <c r="Q136" s="42"/>
      <c r="R136" s="42"/>
      <c r="S136" s="42"/>
      <c r="T136" s="42"/>
    </row>
  </sheetData>
  <sheetProtection algorithmName="SHA-512" hashValue="Fhi7dHzlkZoTJFri4msPzLeA6Lr+P8XrXryx22t/0j5XOQ3GocbUIh3YYfbevJ8A3q+wLfgjLQXYs7agtQotFw==" saltValue="ShztSCDhSl2/N/AEDZ8Cqg==" spinCount="100000" sheet="1" objects="1" selectLockedCells="1"/>
  <mergeCells count="4">
    <mergeCell ref="B127:B128"/>
    <mergeCell ref="B5:T10"/>
    <mergeCell ref="B3:T3"/>
    <mergeCell ref="B132:B133"/>
  </mergeCells>
  <dataValidations count="2">
    <dataValidation type="list" allowBlank="1" showInputMessage="1" showErrorMessage="1" sqref="C26">
      <formula1>BSFUnits</formula1>
    </dataValidation>
    <dataValidation type="list" allowBlank="1" showInputMessage="1" showErrorMessage="1" sqref="C48">
      <formula1>Concrete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'Table-BSF-Units'!$C$5:$G$5</xm:f>
          </x14:formula1>
          <xm:sqref>C23:C24 C41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election activeCell="C20" sqref="C20"/>
    </sheetView>
  </sheetViews>
  <sheetFormatPr baseColWidth="10" defaultRowHeight="15" x14ac:dyDescent="0.25"/>
  <cols>
    <col min="1" max="1" width="2.42578125" customWidth="1"/>
    <col min="2" max="2" width="16.85546875" customWidth="1"/>
    <col min="3" max="3" width="47.28515625" customWidth="1"/>
  </cols>
  <sheetData>
    <row r="2" spans="2:3" x14ac:dyDescent="0.25">
      <c r="B2" s="94" t="s">
        <v>126</v>
      </c>
      <c r="C2" s="95"/>
    </row>
    <row r="3" spans="2:3" x14ac:dyDescent="0.25">
      <c r="B3" s="86" t="s">
        <v>67</v>
      </c>
      <c r="C3" s="88" t="s">
        <v>158</v>
      </c>
    </row>
    <row r="4" spans="2:3" x14ac:dyDescent="0.25">
      <c r="B4" s="67" t="s">
        <v>16</v>
      </c>
      <c r="C4" s="69" t="s">
        <v>16</v>
      </c>
    </row>
    <row r="5" spans="2:3" x14ac:dyDescent="0.25">
      <c r="B5" s="9">
        <v>8</v>
      </c>
      <c r="C5" s="11">
        <v>10</v>
      </c>
    </row>
    <row r="6" spans="2:3" x14ac:dyDescent="0.25">
      <c r="B6" s="9">
        <v>10</v>
      </c>
      <c r="C6" s="11">
        <v>12</v>
      </c>
    </row>
    <row r="7" spans="2:3" x14ac:dyDescent="0.25">
      <c r="B7" s="9">
        <v>12</v>
      </c>
      <c r="C7" s="11">
        <v>15</v>
      </c>
    </row>
    <row r="8" spans="2:3" x14ac:dyDescent="0.25">
      <c r="B8" s="9">
        <v>16</v>
      </c>
      <c r="C8" s="11">
        <v>20</v>
      </c>
    </row>
    <row r="9" spans="2:3" x14ac:dyDescent="0.25">
      <c r="B9" s="9">
        <v>20</v>
      </c>
      <c r="C9" s="11">
        <v>25</v>
      </c>
    </row>
    <row r="10" spans="2:3" x14ac:dyDescent="0.25">
      <c r="B10" s="9">
        <v>25</v>
      </c>
      <c r="C10" s="11">
        <v>32</v>
      </c>
    </row>
    <row r="11" spans="2:3" x14ac:dyDescent="0.25">
      <c r="B11" s="58">
        <v>32</v>
      </c>
      <c r="C11" s="57">
        <v>40</v>
      </c>
    </row>
  </sheetData>
  <sheetProtection algorithmName="SHA-512" hashValue="L933Zp7BtnfnyDxTHzEOxIUJLw45EUE2r0feReju7Phj+tUyDc51vdpna4JyNrVZkHDrc9DGVN4qtlDAuuUfOg==" saltValue="mjm3smZBhD8dTRA1570efA==" spinCount="100000" sheet="1" selectLockedCells="1" selectUnlockedCells="1"/>
  <mergeCells count="1">
    <mergeCell ref="B2: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3"/>
  <sheetViews>
    <sheetView workbookViewId="0">
      <selection activeCell="C20" sqref="C20"/>
    </sheetView>
  </sheetViews>
  <sheetFormatPr baseColWidth="10" defaultRowHeight="15" x14ac:dyDescent="0.25"/>
  <sheetData>
    <row r="3" spans="1:6" x14ac:dyDescent="0.25">
      <c r="A3" s="94" t="s">
        <v>159</v>
      </c>
      <c r="B3" s="96"/>
      <c r="C3" s="96"/>
      <c r="D3" s="96"/>
      <c r="E3" s="96"/>
      <c r="F3" s="95"/>
    </row>
    <row r="4" spans="1:6" ht="18" x14ac:dyDescent="0.35">
      <c r="A4" s="89"/>
      <c r="B4" s="87" t="s">
        <v>189</v>
      </c>
      <c r="C4" s="87" t="s">
        <v>190</v>
      </c>
      <c r="D4" s="87" t="s">
        <v>191</v>
      </c>
      <c r="E4" s="87" t="s">
        <v>192</v>
      </c>
      <c r="F4" s="88" t="s">
        <v>193</v>
      </c>
    </row>
    <row r="5" spans="1:6" x14ac:dyDescent="0.25">
      <c r="A5" s="90"/>
      <c r="B5" s="68" t="s">
        <v>7</v>
      </c>
      <c r="C5" s="68" t="s">
        <v>7</v>
      </c>
      <c r="D5" s="68" t="s">
        <v>7</v>
      </c>
      <c r="E5" s="68" t="s">
        <v>7</v>
      </c>
      <c r="F5" s="69" t="s">
        <v>7</v>
      </c>
    </row>
    <row r="6" spans="1:6" x14ac:dyDescent="0.25">
      <c r="A6" s="22" t="s">
        <v>0</v>
      </c>
      <c r="B6" s="10">
        <v>20</v>
      </c>
      <c r="C6" s="10">
        <v>25</v>
      </c>
      <c r="D6" s="10">
        <v>28</v>
      </c>
      <c r="E6" s="10">
        <v>2.2000000000000002</v>
      </c>
      <c r="F6" s="54">
        <v>1.5</v>
      </c>
    </row>
    <row r="7" spans="1:6" x14ac:dyDescent="0.25">
      <c r="A7" s="22" t="s">
        <v>1</v>
      </c>
      <c r="B7" s="10">
        <v>25</v>
      </c>
      <c r="C7" s="10">
        <v>30</v>
      </c>
      <c r="D7" s="10">
        <v>33</v>
      </c>
      <c r="E7" s="10">
        <v>2.6</v>
      </c>
      <c r="F7" s="54">
        <v>1.8</v>
      </c>
    </row>
    <row r="8" spans="1:6" x14ac:dyDescent="0.25">
      <c r="A8" s="22" t="s">
        <v>8</v>
      </c>
      <c r="B8" s="10">
        <v>30</v>
      </c>
      <c r="C8" s="10">
        <v>37</v>
      </c>
      <c r="D8" s="10">
        <v>38</v>
      </c>
      <c r="E8" s="10">
        <v>2.9</v>
      </c>
      <c r="F8" s="54">
        <v>2</v>
      </c>
    </row>
    <row r="9" spans="1:6" x14ac:dyDescent="0.25">
      <c r="A9" s="22" t="s">
        <v>9</v>
      </c>
      <c r="B9" s="10">
        <v>35</v>
      </c>
      <c r="C9" s="10">
        <v>45</v>
      </c>
      <c r="D9" s="10">
        <v>43</v>
      </c>
      <c r="E9" s="10">
        <v>3.2</v>
      </c>
      <c r="F9" s="54">
        <v>2.2000000000000002</v>
      </c>
    </row>
    <row r="10" spans="1:6" x14ac:dyDescent="0.25">
      <c r="A10" s="22" t="s">
        <v>3</v>
      </c>
      <c r="B10" s="10">
        <v>40</v>
      </c>
      <c r="C10" s="10">
        <v>50</v>
      </c>
      <c r="D10" s="10">
        <v>48</v>
      </c>
      <c r="E10" s="10">
        <v>3.5</v>
      </c>
      <c r="F10" s="54">
        <v>2.5</v>
      </c>
    </row>
    <row r="11" spans="1:6" x14ac:dyDescent="0.25">
      <c r="A11" s="22" t="s">
        <v>2</v>
      </c>
      <c r="B11" s="10">
        <v>45</v>
      </c>
      <c r="C11" s="10">
        <v>55</v>
      </c>
      <c r="D11" s="10">
        <v>53</v>
      </c>
      <c r="E11" s="10">
        <v>3.8</v>
      </c>
      <c r="F11" s="54">
        <v>2.7</v>
      </c>
    </row>
    <row r="12" spans="1:6" x14ac:dyDescent="0.25">
      <c r="A12" s="22" t="s">
        <v>4</v>
      </c>
      <c r="B12" s="10">
        <v>50</v>
      </c>
      <c r="C12" s="10">
        <v>60</v>
      </c>
      <c r="D12" s="10">
        <v>58</v>
      </c>
      <c r="E12" s="10">
        <v>4.0999999999999996</v>
      </c>
      <c r="F12" s="54">
        <v>2.9</v>
      </c>
    </row>
    <row r="13" spans="1:6" x14ac:dyDescent="0.25">
      <c r="A13" s="55" t="s">
        <v>5</v>
      </c>
      <c r="B13" s="38">
        <v>55</v>
      </c>
      <c r="C13" s="38">
        <v>67</v>
      </c>
      <c r="D13" s="38">
        <v>63</v>
      </c>
      <c r="E13" s="38">
        <v>4.2</v>
      </c>
      <c r="F13" s="56">
        <v>3</v>
      </c>
    </row>
  </sheetData>
  <sheetProtection algorithmName="SHA-512" hashValue="ZUkhrsk86kUlWc8DLweyD3aZZ8lLKrVDpTXinpyXONoDssONlMOnK6A72HuFbEFeXMO04VKc3s2sInjx39c9AQ==" saltValue="JW3o4UWNJQFMxZJTojbZdg==" spinCount="100000" sheet="1" selectLockedCells="1" selectUnlockedCells="1"/>
  <mergeCells count="1">
    <mergeCell ref="A3:F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0"/>
  <sheetViews>
    <sheetView topLeftCell="R1" workbookViewId="0">
      <selection activeCell="AJ19" sqref="AJ19"/>
    </sheetView>
  </sheetViews>
  <sheetFormatPr baseColWidth="10" defaultRowHeight="15" x14ac:dyDescent="0.25"/>
  <cols>
    <col min="3" max="27" width="5.7109375" customWidth="1"/>
    <col min="28" max="29" width="18.28515625" customWidth="1"/>
    <col min="30" max="30" width="18.28515625" bestFit="1" customWidth="1"/>
    <col min="36" max="36" width="24.5703125" customWidth="1"/>
    <col min="37" max="37" width="34.85546875" customWidth="1"/>
  </cols>
  <sheetData>
    <row r="2" spans="1:37" x14ac:dyDescent="0.25">
      <c r="A2" t="s">
        <v>26</v>
      </c>
      <c r="B2" s="17">
        <v>1</v>
      </c>
      <c r="C2" s="9">
        <v>2</v>
      </c>
      <c r="D2" s="1">
        <v>3</v>
      </c>
      <c r="E2" s="1">
        <v>4</v>
      </c>
      <c r="F2" s="1">
        <v>5</v>
      </c>
      <c r="G2" s="1">
        <v>6</v>
      </c>
      <c r="H2" s="9">
        <v>7</v>
      </c>
      <c r="I2" s="10">
        <v>8</v>
      </c>
      <c r="J2" s="10">
        <v>9</v>
      </c>
      <c r="K2" s="10">
        <v>10</v>
      </c>
      <c r="L2" s="11">
        <v>11</v>
      </c>
      <c r="M2" s="1">
        <v>12</v>
      </c>
      <c r="N2" s="1">
        <v>13</v>
      </c>
      <c r="O2" s="1">
        <v>14</v>
      </c>
      <c r="P2" s="1">
        <v>15</v>
      </c>
      <c r="Q2" s="1">
        <v>16</v>
      </c>
      <c r="R2" s="9">
        <v>17</v>
      </c>
      <c r="S2" s="1">
        <v>18</v>
      </c>
      <c r="T2" s="1">
        <v>19</v>
      </c>
      <c r="U2" s="1">
        <v>20</v>
      </c>
      <c r="V2" s="1">
        <v>21</v>
      </c>
      <c r="W2" s="9">
        <v>22</v>
      </c>
      <c r="X2" s="1">
        <v>23</v>
      </c>
      <c r="Y2" s="1">
        <v>24</v>
      </c>
      <c r="Z2" s="1">
        <v>25</v>
      </c>
      <c r="AA2" s="1">
        <v>26</v>
      </c>
      <c r="AB2" s="19">
        <v>27</v>
      </c>
      <c r="AC2" s="19">
        <v>28</v>
      </c>
      <c r="AD2" s="19">
        <v>29</v>
      </c>
      <c r="AE2" s="19">
        <v>30</v>
      </c>
      <c r="AF2" s="19">
        <v>31</v>
      </c>
      <c r="AG2" s="19">
        <v>32</v>
      </c>
      <c r="AH2" s="19">
        <v>33</v>
      </c>
      <c r="AI2" s="19">
        <v>34</v>
      </c>
      <c r="AJ2" s="9">
        <v>35</v>
      </c>
      <c r="AK2" s="11">
        <v>36</v>
      </c>
    </row>
    <row r="3" spans="1:37" x14ac:dyDescent="0.25">
      <c r="C3" s="97" t="s">
        <v>20</v>
      </c>
      <c r="D3" s="98"/>
      <c r="E3" s="98"/>
      <c r="F3" s="98"/>
      <c r="G3" s="99"/>
      <c r="H3" s="97" t="s">
        <v>194</v>
      </c>
      <c r="I3" s="98"/>
      <c r="J3" s="98"/>
      <c r="K3" s="98"/>
      <c r="L3" s="99"/>
      <c r="M3" s="97" t="s">
        <v>195</v>
      </c>
      <c r="N3" s="98"/>
      <c r="O3" s="98"/>
      <c r="P3" s="98"/>
      <c r="Q3" s="99"/>
      <c r="R3" s="97" t="s">
        <v>196</v>
      </c>
      <c r="S3" s="98"/>
      <c r="T3" s="98"/>
      <c r="U3" s="98"/>
      <c r="V3" s="99"/>
      <c r="W3" s="97" t="s">
        <v>197</v>
      </c>
      <c r="X3" s="98"/>
      <c r="Y3" s="98"/>
      <c r="Z3" s="98"/>
      <c r="AA3" s="98"/>
      <c r="AB3" s="18"/>
      <c r="AC3" s="71"/>
      <c r="AD3" s="71"/>
      <c r="AE3" s="71"/>
      <c r="AF3" s="71"/>
      <c r="AG3" s="71"/>
      <c r="AH3" s="71"/>
      <c r="AI3" s="71"/>
      <c r="AJ3" s="22"/>
      <c r="AK3" s="24"/>
    </row>
    <row r="4" spans="1:37" x14ac:dyDescent="0.25">
      <c r="C4" s="97" t="s">
        <v>28</v>
      </c>
      <c r="D4" s="98"/>
      <c r="E4" s="98"/>
      <c r="F4" s="98"/>
      <c r="G4" s="99"/>
      <c r="H4" s="97" t="s">
        <v>28</v>
      </c>
      <c r="I4" s="98"/>
      <c r="J4" s="98"/>
      <c r="K4" s="98"/>
      <c r="L4" s="99"/>
      <c r="M4" s="97" t="s">
        <v>28</v>
      </c>
      <c r="N4" s="98"/>
      <c r="O4" s="98"/>
      <c r="P4" s="98"/>
      <c r="Q4" s="99"/>
      <c r="R4" s="97" t="s">
        <v>28</v>
      </c>
      <c r="S4" s="98"/>
      <c r="T4" s="98"/>
      <c r="U4" s="98"/>
      <c r="V4" s="99"/>
      <c r="W4" s="97" t="s">
        <v>28</v>
      </c>
      <c r="X4" s="98"/>
      <c r="Y4" s="98"/>
      <c r="Z4" s="98"/>
      <c r="AA4" s="98"/>
      <c r="AB4" s="18"/>
      <c r="AC4" s="19"/>
      <c r="AD4" s="19"/>
      <c r="AE4" s="19"/>
      <c r="AF4" s="19"/>
      <c r="AG4" s="19"/>
      <c r="AH4" s="71"/>
      <c r="AI4" s="71"/>
      <c r="AJ4" s="100" t="s">
        <v>59</v>
      </c>
      <c r="AK4" s="100"/>
    </row>
    <row r="5" spans="1:37" ht="18" x14ac:dyDescent="0.35">
      <c r="B5" s="21"/>
      <c r="C5" s="67">
        <v>0</v>
      </c>
      <c r="D5" s="68">
        <v>5</v>
      </c>
      <c r="E5" s="68">
        <v>10</v>
      </c>
      <c r="F5" s="68">
        <v>15</v>
      </c>
      <c r="G5" s="69">
        <v>20</v>
      </c>
      <c r="H5" s="67">
        <v>0</v>
      </c>
      <c r="I5" s="68">
        <v>5</v>
      </c>
      <c r="J5" s="68">
        <v>10</v>
      </c>
      <c r="K5" s="68">
        <v>15</v>
      </c>
      <c r="L5" s="69">
        <v>20</v>
      </c>
      <c r="M5" s="67">
        <v>0</v>
      </c>
      <c r="N5" s="68">
        <v>5</v>
      </c>
      <c r="O5" s="68">
        <v>10</v>
      </c>
      <c r="P5" s="68">
        <v>15</v>
      </c>
      <c r="Q5" s="69">
        <v>20</v>
      </c>
      <c r="R5" s="67">
        <v>0</v>
      </c>
      <c r="S5" s="68">
        <v>5</v>
      </c>
      <c r="T5" s="68">
        <v>10</v>
      </c>
      <c r="U5" s="68">
        <v>15</v>
      </c>
      <c r="V5" s="69">
        <v>20</v>
      </c>
      <c r="W5" s="67">
        <v>0</v>
      </c>
      <c r="X5" s="68">
        <v>5</v>
      </c>
      <c r="Y5" s="68">
        <v>10</v>
      </c>
      <c r="Z5" s="68">
        <v>15</v>
      </c>
      <c r="AA5" s="68">
        <v>20</v>
      </c>
      <c r="AB5" s="70" t="s">
        <v>51</v>
      </c>
      <c r="AC5" s="70" t="s">
        <v>52</v>
      </c>
      <c r="AD5" s="70" t="s">
        <v>62</v>
      </c>
      <c r="AE5" s="70" t="s">
        <v>53</v>
      </c>
      <c r="AF5" s="70" t="s">
        <v>63</v>
      </c>
      <c r="AG5" s="70" t="s">
        <v>54</v>
      </c>
      <c r="AH5" s="70" t="s">
        <v>57</v>
      </c>
      <c r="AI5" s="70" t="s">
        <v>58</v>
      </c>
      <c r="AJ5" s="72" t="s">
        <v>60</v>
      </c>
      <c r="AK5" s="72" t="s">
        <v>61</v>
      </c>
    </row>
    <row r="6" spans="1:37" x14ac:dyDescent="0.25">
      <c r="B6" t="s">
        <v>18</v>
      </c>
      <c r="C6" s="9" t="s">
        <v>14</v>
      </c>
      <c r="D6" s="10" t="s">
        <v>14</v>
      </c>
      <c r="E6" s="10" t="s">
        <v>14</v>
      </c>
      <c r="F6" s="10" t="s">
        <v>14</v>
      </c>
      <c r="G6" s="11" t="s">
        <v>14</v>
      </c>
      <c r="H6" s="9" t="s">
        <v>14</v>
      </c>
      <c r="I6" s="10" t="s">
        <v>14</v>
      </c>
      <c r="J6" s="10" t="s">
        <v>14</v>
      </c>
      <c r="K6" s="10" t="s">
        <v>14</v>
      </c>
      <c r="L6" s="11" t="s">
        <v>14</v>
      </c>
      <c r="M6" s="9" t="s">
        <v>16</v>
      </c>
      <c r="N6" s="10" t="s">
        <v>16</v>
      </c>
      <c r="O6" s="10" t="s">
        <v>16</v>
      </c>
      <c r="P6" s="10" t="s">
        <v>16</v>
      </c>
      <c r="Q6" s="11" t="s">
        <v>16</v>
      </c>
      <c r="R6" s="9" t="s">
        <v>16</v>
      </c>
      <c r="S6" s="10" t="s">
        <v>16</v>
      </c>
      <c r="T6" s="10" t="s">
        <v>16</v>
      </c>
      <c r="U6" s="10" t="s">
        <v>16</v>
      </c>
      <c r="V6" s="11" t="s">
        <v>16</v>
      </c>
      <c r="W6" s="9" t="s">
        <v>16</v>
      </c>
      <c r="X6" s="10" t="s">
        <v>16</v>
      </c>
      <c r="Y6" s="10" t="s">
        <v>16</v>
      </c>
      <c r="Z6" s="10" t="s">
        <v>16</v>
      </c>
      <c r="AA6" s="10" t="s">
        <v>16</v>
      </c>
      <c r="AB6" s="19" t="s">
        <v>16</v>
      </c>
      <c r="AC6" s="19" t="s">
        <v>16</v>
      </c>
      <c r="AD6" s="19" t="s">
        <v>16</v>
      </c>
      <c r="AE6" s="19" t="s">
        <v>16</v>
      </c>
      <c r="AF6" s="19" t="s">
        <v>16</v>
      </c>
      <c r="AG6" s="19" t="s">
        <v>16</v>
      </c>
      <c r="AH6" s="19" t="s">
        <v>16</v>
      </c>
      <c r="AI6" s="19" t="s">
        <v>16</v>
      </c>
      <c r="AJ6" s="71"/>
      <c r="AK6" s="71"/>
    </row>
    <row r="7" spans="1:37" ht="18.75" x14ac:dyDescent="0.35">
      <c r="B7" t="s">
        <v>11</v>
      </c>
      <c r="C7" s="9">
        <v>225</v>
      </c>
      <c r="D7" s="10" t="s">
        <v>27</v>
      </c>
      <c r="E7" s="10" t="s">
        <v>27</v>
      </c>
      <c r="F7" s="10" t="s">
        <v>27</v>
      </c>
      <c r="G7" s="11" t="s">
        <v>27</v>
      </c>
      <c r="H7" s="9">
        <v>67.5</v>
      </c>
      <c r="I7" s="10" t="s">
        <v>27</v>
      </c>
      <c r="J7" s="10" t="s">
        <v>27</v>
      </c>
      <c r="K7" s="10" t="s">
        <v>27</v>
      </c>
      <c r="L7" s="11" t="s">
        <v>27</v>
      </c>
      <c r="M7" s="9">
        <v>85</v>
      </c>
      <c r="N7" s="10"/>
      <c r="O7" s="10"/>
      <c r="P7" s="10"/>
      <c r="Q7" s="11"/>
      <c r="R7" s="9">
        <v>45</v>
      </c>
      <c r="S7" s="10"/>
      <c r="T7" s="10"/>
      <c r="U7" s="10"/>
      <c r="V7" s="11"/>
      <c r="W7" s="9">
        <v>375</v>
      </c>
      <c r="X7" s="10"/>
      <c r="Y7" s="10"/>
      <c r="Z7" s="10"/>
      <c r="AA7" s="10"/>
      <c r="AB7" s="19">
        <v>450</v>
      </c>
      <c r="AC7" s="19">
        <v>300</v>
      </c>
      <c r="AD7" s="19">
        <v>100</v>
      </c>
      <c r="AE7" s="19">
        <v>195</v>
      </c>
      <c r="AF7" s="20">
        <v>20</v>
      </c>
      <c r="AG7" s="20">
        <v>30</v>
      </c>
      <c r="AH7" s="20">
        <v>76</v>
      </c>
      <c r="AI7" s="20">
        <v>76</v>
      </c>
      <c r="AJ7" s="19" t="s">
        <v>69</v>
      </c>
      <c r="AK7" s="19" t="s">
        <v>71</v>
      </c>
    </row>
    <row r="8" spans="1:37" ht="18.75" x14ac:dyDescent="0.35">
      <c r="B8" t="s">
        <v>10</v>
      </c>
      <c r="C8" s="9">
        <v>300</v>
      </c>
      <c r="D8" s="10" t="s">
        <v>27</v>
      </c>
      <c r="E8" s="10" t="s">
        <v>27</v>
      </c>
      <c r="F8" s="10" t="s">
        <v>27</v>
      </c>
      <c r="G8" s="11" t="s">
        <v>27</v>
      </c>
      <c r="H8" s="9">
        <v>90</v>
      </c>
      <c r="I8" s="10" t="s">
        <v>27</v>
      </c>
      <c r="J8" s="10" t="s">
        <v>27</v>
      </c>
      <c r="K8" s="10" t="s">
        <v>27</v>
      </c>
      <c r="L8" s="11" t="s">
        <v>27</v>
      </c>
      <c r="M8" s="9">
        <v>85</v>
      </c>
      <c r="N8" s="10"/>
      <c r="O8" s="10"/>
      <c r="P8" s="10"/>
      <c r="Q8" s="11"/>
      <c r="R8" s="9">
        <v>55</v>
      </c>
      <c r="S8" s="10"/>
      <c r="T8" s="10"/>
      <c r="U8" s="10"/>
      <c r="V8" s="11"/>
      <c r="W8" s="9">
        <v>375</v>
      </c>
      <c r="X8" s="10"/>
      <c r="Y8" s="10"/>
      <c r="Z8" s="10"/>
      <c r="AA8" s="10"/>
      <c r="AB8" s="19">
        <v>500</v>
      </c>
      <c r="AC8" s="19">
        <v>300</v>
      </c>
      <c r="AD8" s="19">
        <v>100</v>
      </c>
      <c r="AE8" s="19">
        <v>235</v>
      </c>
      <c r="AF8" s="20">
        <v>20</v>
      </c>
      <c r="AG8" s="20">
        <v>30</v>
      </c>
      <c r="AH8" s="20">
        <v>76</v>
      </c>
      <c r="AI8" s="20">
        <v>76</v>
      </c>
      <c r="AJ8" s="19" t="s">
        <v>68</v>
      </c>
      <c r="AK8" s="19" t="s">
        <v>72</v>
      </c>
    </row>
    <row r="9" spans="1:37" ht="18.75" x14ac:dyDescent="0.35">
      <c r="B9" t="s">
        <v>12</v>
      </c>
      <c r="C9" s="9">
        <v>450</v>
      </c>
      <c r="D9" s="10">
        <v>440</v>
      </c>
      <c r="E9" s="10">
        <v>430</v>
      </c>
      <c r="F9" s="10">
        <v>420</v>
      </c>
      <c r="G9" s="11">
        <v>410</v>
      </c>
      <c r="H9" s="9">
        <v>135</v>
      </c>
      <c r="I9" s="10">
        <v>132</v>
      </c>
      <c r="J9" s="10">
        <v>129</v>
      </c>
      <c r="K9" s="10">
        <v>126</v>
      </c>
      <c r="L9" s="11">
        <v>123</v>
      </c>
      <c r="M9" s="9">
        <v>92.5</v>
      </c>
      <c r="N9" s="10">
        <v>96.2</v>
      </c>
      <c r="O9" s="10">
        <v>100.6</v>
      </c>
      <c r="P9" s="10">
        <v>105.9</v>
      </c>
      <c r="Q9" s="11">
        <v>112.3</v>
      </c>
      <c r="R9" s="9">
        <v>75</v>
      </c>
      <c r="S9" s="10">
        <v>75</v>
      </c>
      <c r="T9" s="10">
        <v>75</v>
      </c>
      <c r="U9" s="10">
        <v>75</v>
      </c>
      <c r="V9" s="11">
        <v>75</v>
      </c>
      <c r="W9" s="9">
        <v>497.5</v>
      </c>
      <c r="X9" s="10">
        <v>492.5</v>
      </c>
      <c r="Y9" s="10">
        <v>487.5</v>
      </c>
      <c r="Z9" s="10">
        <v>482.5</v>
      </c>
      <c r="AA9" s="10">
        <v>477.5</v>
      </c>
      <c r="AB9" s="19">
        <v>550</v>
      </c>
      <c r="AC9" s="19">
        <v>350</v>
      </c>
      <c r="AD9" s="19">
        <v>100</v>
      </c>
      <c r="AE9" s="20">
        <v>250</v>
      </c>
      <c r="AF9" s="20">
        <v>30</v>
      </c>
      <c r="AG9" s="20">
        <v>40</v>
      </c>
      <c r="AH9" s="20">
        <v>76</v>
      </c>
      <c r="AI9" s="20">
        <v>76</v>
      </c>
      <c r="AJ9" s="19" t="s">
        <v>75</v>
      </c>
      <c r="AK9" s="19" t="s">
        <v>73</v>
      </c>
    </row>
    <row r="10" spans="1:37" ht="18.75" x14ac:dyDescent="0.35">
      <c r="B10" t="s">
        <v>13</v>
      </c>
      <c r="C10" s="9">
        <v>700</v>
      </c>
      <c r="D10" s="10" t="s">
        <v>27</v>
      </c>
      <c r="E10" s="10" t="s">
        <v>27</v>
      </c>
      <c r="F10" s="10">
        <v>630</v>
      </c>
      <c r="G10" s="11" t="s">
        <v>27</v>
      </c>
      <c r="H10" s="9">
        <v>210</v>
      </c>
      <c r="I10" s="10" t="s">
        <v>27</v>
      </c>
      <c r="J10" s="10" t="s">
        <v>27</v>
      </c>
      <c r="K10" s="10">
        <v>189</v>
      </c>
      <c r="L10" s="11" t="s">
        <v>27</v>
      </c>
      <c r="M10" s="9">
        <v>105</v>
      </c>
      <c r="N10" s="10"/>
      <c r="O10" s="10"/>
      <c r="P10" s="10">
        <v>135.5</v>
      </c>
      <c r="Q10" s="11"/>
      <c r="R10" s="9">
        <v>75</v>
      </c>
      <c r="S10" s="10"/>
      <c r="T10" s="10"/>
      <c r="U10" s="10">
        <v>75</v>
      </c>
      <c r="V10" s="11"/>
      <c r="W10" s="9">
        <v>485</v>
      </c>
      <c r="X10" s="10"/>
      <c r="Y10" s="10"/>
      <c r="Z10" s="10">
        <v>455</v>
      </c>
      <c r="AA10" s="10"/>
      <c r="AB10" s="19">
        <v>800</v>
      </c>
      <c r="AC10" s="19">
        <v>550</v>
      </c>
      <c r="AD10" s="19">
        <v>175</v>
      </c>
      <c r="AE10" s="20">
        <v>280</v>
      </c>
      <c r="AF10" s="20">
        <v>40</v>
      </c>
      <c r="AG10" s="20">
        <v>50</v>
      </c>
      <c r="AH10" s="20">
        <v>200</v>
      </c>
      <c r="AI10" s="20">
        <v>76</v>
      </c>
      <c r="AJ10" s="19" t="s">
        <v>70</v>
      </c>
      <c r="AK10" s="19" t="s">
        <v>74</v>
      </c>
    </row>
  </sheetData>
  <sheetProtection algorithmName="SHA-512" hashValue="DcOMdc6+RuloLucBTwCdqQUqy0EUQcROcmWFxOlfcaorVBcaTriRiF5OpV5s8+IBhP3A+r/99WLWTotT5opvqA==" saltValue="crXjVuwfRFjseiFqmqTmiw==" spinCount="100000" sheet="1" selectLockedCells="1" selectUnlockedCells="1"/>
  <mergeCells count="11">
    <mergeCell ref="W4:AA4"/>
    <mergeCell ref="W3:AA3"/>
    <mergeCell ref="AJ4:AK4"/>
    <mergeCell ref="R3:V3"/>
    <mergeCell ref="R4:V4"/>
    <mergeCell ref="C3:G3"/>
    <mergeCell ref="C4:G4"/>
    <mergeCell ref="H4:L4"/>
    <mergeCell ref="H3:L3"/>
    <mergeCell ref="M3:Q3"/>
    <mergeCell ref="M4:Q4"/>
  </mergeCells>
  <pageMargins left="0.7" right="0.7" top="0.75" bottom="0.75" header="0.3" footer="0.3"/>
  <pageSetup paperSize="8"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62</vt:i4>
      </vt:variant>
    </vt:vector>
  </HeadingPairs>
  <TitlesOfParts>
    <vt:vector size="66" baseType="lpstr">
      <vt:lpstr>Input</vt:lpstr>
      <vt:lpstr>Table-Reinforcement</vt:lpstr>
      <vt:lpstr>Table-Concrete qualities</vt:lpstr>
      <vt:lpstr>Table-BSF-Units</vt:lpstr>
      <vt:lpstr>a</vt:lpstr>
      <vt:lpstr>alfa1</vt:lpstr>
      <vt:lpstr>alfa2</vt:lpstr>
      <vt:lpstr>alfa3</vt:lpstr>
      <vt:lpstr>alfa4</vt:lpstr>
      <vt:lpstr>alfa5</vt:lpstr>
      <vt:lpstr>alfa6</vt:lpstr>
      <vt:lpstr>alfaCC</vt:lpstr>
      <vt:lpstr>alfaCT</vt:lpstr>
      <vt:lpstr>alfaCW</vt:lpstr>
      <vt:lpstr>AsFrontSelected</vt:lpstr>
      <vt:lpstr>b</vt:lpstr>
      <vt:lpstr>BSFData</vt:lpstr>
      <vt:lpstr>BSFUnits</vt:lpstr>
      <vt:lpstr>bw</vt:lpstr>
      <vt:lpstr>cc</vt:lpstr>
      <vt:lpstr>ce</vt:lpstr>
      <vt:lpstr>Concrete</vt:lpstr>
      <vt:lpstr>ConcreteValues</vt:lpstr>
      <vt:lpstr>d</vt:lpstr>
      <vt:lpstr>e</vt:lpstr>
      <vt:lpstr>EtaEn</vt:lpstr>
      <vt:lpstr>EtaTo</vt:lpstr>
      <vt:lpstr>fbd</vt:lpstr>
      <vt:lpstr>fcd</vt:lpstr>
      <vt:lpstr>fck</vt:lpstr>
      <vt:lpstr>fctd</vt:lpstr>
      <vt:lpstr>fctk005</vt:lpstr>
      <vt:lpstr>FhEd</vt:lpstr>
      <vt:lpstr>fsd</vt:lpstr>
      <vt:lpstr>FvEd</vt:lpstr>
      <vt:lpstr>fyk</vt:lpstr>
      <vt:lpstr>gammaC</vt:lpstr>
      <vt:lpstr>gammaS</vt:lpstr>
      <vt:lpstr>h</vt:lpstr>
      <vt:lpstr>hknife</vt:lpstr>
      <vt:lpstr>hmin</vt:lpstr>
      <vt:lpstr>lbd</vt:lpstr>
      <vt:lpstr>lbreqd</vt:lpstr>
      <vt:lpstr>nobBackType1</vt:lpstr>
      <vt:lpstr>nobBackType2</vt:lpstr>
      <vt:lpstr>nobFrontType1</vt:lpstr>
      <vt:lpstr>Rvo</vt:lpstr>
      <vt:lpstr>Rvu</vt:lpstr>
      <vt:lpstr>SigmaAsfront</vt:lpstr>
      <vt:lpstr>tknife</vt:lpstr>
      <vt:lpstr>VRds</vt:lpstr>
      <vt:lpstr>w</vt:lpstr>
      <vt:lpstr>wmin</vt:lpstr>
      <vt:lpstr>wrecessbox</vt:lpstr>
      <vt:lpstr>xSpacing</vt:lpstr>
      <vt:lpstr>YpsilonEn</vt:lpstr>
      <vt:lpstr>z</vt:lpstr>
      <vt:lpstr>ØbackType1</vt:lpstr>
      <vt:lpstr>ØbackType2</vt:lpstr>
      <vt:lpstr>ØfrontType1</vt:lpstr>
      <vt:lpstr>Øhrsback</vt:lpstr>
      <vt:lpstr>Øhrsfront</vt:lpstr>
      <vt:lpstr>Ømain</vt:lpstr>
      <vt:lpstr>ØmfMin</vt:lpstr>
      <vt:lpstr>ØmfSelected</vt:lpstr>
      <vt:lpstr>Østirrup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Steinar</dc:creator>
  <cp:lastModifiedBy>Steinar</cp:lastModifiedBy>
  <cp:lastPrinted>2014-03-31T08:22:24Z</cp:lastPrinted>
  <dcterms:created xsi:type="dcterms:W3CDTF">2014-03-25T08:32:07Z</dcterms:created>
  <dcterms:modified xsi:type="dcterms:W3CDTF">2017-01-02T10:18:03Z</dcterms:modified>
</cp:coreProperties>
</file>